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9635" windowHeight="105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<sst xmlns="http://schemas.openxmlformats.org/spreadsheetml/2006/main" count="81" uniqueCount="39">
  <si>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</si>
  <si>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</si>
  <si>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</si>
  <si>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</si>
  <si>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</si>
  <si>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</si>
  <si>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</si>
  <si>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</si>
  <si>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</si>
  <si>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</si>
  <si>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</si>
  <si>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</si>
  <si>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</si>
  <si>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</si>
  <si>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</si>
  <si>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</si>
  <si>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</si>
  <si>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</si>
  <si>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</si>
  <si>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</si>
  <si>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</si>
  <si>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</si>
  <si>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</si>
  <si>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</si>
  <si>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</si>
  <si>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</si>
  <si>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</si>
  <si>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</si>
  <si>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</si>
  <si>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</si>
  <si>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D-Jugend Sparkassencup 2022</t>
  </si>
  <si>
    <t>Am Sonntag, den 15. Mai 2022</t>
  </si>
  <si>
    <t>Vorrunde Gruppe 3</t>
  </si>
  <si>
    <t>in Obervorschütz</t>
  </si>
  <si>
    <t>FSG Gudensberg II (7er)</t>
  </si>
  <si>
    <t>JSG Homberg-Efze</t>
  </si>
  <si>
    <t>JSG Geismar/H/K/L/Z II (7er)</t>
  </si>
  <si>
    <t>JSG Melsungen-Körle II</t>
  </si>
  <si>
    <t>1. FC Schwalmstadt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</si>
</sst>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16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18" xfId="0" applyFont="1" applyFill="1" applyBorder="1" applyAlignment="1" applyProtection="1">
      <alignment horizontal="left" vertical="center" shrinkToFit="1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33" borderId="21" xfId="0" applyFont="1" applyFill="1" applyBorder="1" applyAlignment="1" applyProtection="1">
      <alignment horizontal="center" vertical="center"/>
      <protection hidden="1"/>
    </xf>
    <xf numFmtId="0" fontId="17" fillId="33" borderId="2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left" vertical="center" shrinkToFit="1"/>
      <protection hidden="1"/>
    </xf>
    <xf numFmtId="171" fontId="17" fillId="0" borderId="26" xfId="0" applyNumberFormat="1" applyFont="1" applyFill="1" applyBorder="1" applyAlignment="1" applyProtection="1">
      <alignment horizontal="center" vertical="center"/>
      <protection hidden="1"/>
    </xf>
    <xf numFmtId="171" fontId="17" fillId="0" borderId="27" xfId="0" applyNumberFormat="1" applyFont="1" applyFill="1" applyBorder="1" applyAlignment="1" applyProtection="1">
      <alignment horizontal="center" vertical="center"/>
      <protection hidden="1"/>
    </xf>
    <xf numFmtId="171" fontId="17" fillId="0" borderId="28" xfId="0" applyNumberFormat="1" applyFont="1" applyFill="1" applyBorder="1" applyAlignment="1" applyProtection="1">
      <alignment horizontal="center" vertical="center"/>
      <protection hidden="1"/>
    </xf>
    <xf numFmtId="171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0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34" borderId="31" xfId="0" applyFont="1" applyFill="1" applyBorder="1" applyAlignment="1" applyProtection="1">
      <alignment horizontal="center" vertical="center" shrinkToFit="1"/>
      <protection hidden="1"/>
    </xf>
    <xf numFmtId="0" fontId="17" fillId="34" borderId="32" xfId="0" applyFont="1" applyFill="1" applyBorder="1" applyAlignment="1" applyProtection="1">
      <alignment horizontal="center" vertical="center" shrinkToFit="1"/>
      <protection hidden="1"/>
    </xf>
    <xf numFmtId="0" fontId="17" fillId="34" borderId="33" xfId="0" applyFont="1" applyFill="1" applyBorder="1" applyAlignment="1" applyProtection="1">
      <alignment horizontal="center" vertical="center" shrinkToFit="1"/>
      <protection hidden="1"/>
    </xf>
    <xf numFmtId="20" fontId="17" fillId="0" borderId="15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33" borderId="34" xfId="0" applyFont="1" applyFill="1" applyBorder="1" applyAlignment="1" applyProtection="1">
      <alignment horizontal="center" vertical="center"/>
      <protection hidden="1"/>
    </xf>
    <xf numFmtId="0" fontId="17" fillId="33" borderId="32" xfId="0" applyFont="1" applyFill="1" applyBorder="1" applyAlignment="1" applyProtection="1">
      <alignment horizontal="center" vertical="center"/>
      <protection hidden="1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33" borderId="35" xfId="0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34" borderId="34" xfId="0" applyFont="1" applyFill="1" applyBorder="1" applyAlignment="1" applyProtection="1">
      <alignment horizontal="center" vertical="center"/>
      <protection hidden="1"/>
    </xf>
    <xf numFmtId="0" fontId="17" fillId="34" borderId="32" xfId="0" applyFont="1" applyFill="1" applyBorder="1" applyAlignment="1" applyProtection="1">
      <alignment horizontal="center" vertical="center"/>
      <protection hidden="1"/>
    </xf>
    <xf numFmtId="0" fontId="17" fillId="34" borderId="37" xfId="0" applyFont="1" applyFill="1" applyBorder="1" applyAlignment="1" applyProtection="1">
      <alignment horizontal="center" vertical="center"/>
      <protection hidden="1"/>
    </xf>
    <xf numFmtId="170" fontId="17" fillId="0" borderId="17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33" borderId="37" xfId="0" applyFont="1" applyFill="1" applyBorder="1" applyAlignment="1" applyProtection="1">
      <alignment horizontal="center" vertical="center"/>
      <protection hidden="1"/>
    </xf>
    <xf numFmtId="0" fontId="17" fillId="34" borderId="38" xfId="0" applyFont="1" applyFill="1" applyBorder="1" applyAlignment="1" applyProtection="1">
      <alignment horizontal="center" vertical="center"/>
      <protection hidden="1"/>
    </xf>
    <xf numFmtId="0" fontId="17" fillId="34" borderId="39" xfId="0" applyFont="1" applyFill="1" applyBorder="1" applyAlignment="1" applyProtection="1">
      <alignment horizontal="center" textRotation="90" shrinkToFit="1"/>
      <protection hidden="1"/>
    </xf>
    <xf numFmtId="0" fontId="17" fillId="34" borderId="40" xfId="0" applyFont="1" applyFill="1" applyBorder="1" applyAlignment="1" applyProtection="1">
      <alignment horizontal="center" textRotation="90" shrinkToFit="1"/>
      <protection hidden="1"/>
    </xf>
    <xf numFmtId="0" fontId="17" fillId="34" borderId="41" xfId="0" applyFont="1" applyFill="1" applyBorder="1" applyAlignment="1" applyProtection="1">
      <alignment horizontal="center" textRotation="90" shrinkToFit="1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34" borderId="42" xfId="0" applyFont="1" applyFill="1" applyBorder="1" applyAlignment="1" applyProtection="1">
      <alignment horizontal="center" textRotation="90" shrinkToFit="1"/>
      <protection hidden="1"/>
    </xf>
    <xf numFmtId="0" fontId="17" fillId="34" borderId="43" xfId="0" applyFont="1" applyFill="1" applyBorder="1" applyAlignment="1" applyProtection="1">
      <alignment horizontal="center" textRotation="90" shrinkToFit="1"/>
      <protection hidden="1"/>
    </xf>
    <xf numFmtId="0" fontId="17" fillId="34" borderId="44" xfId="0" applyFont="1" applyFill="1" applyBorder="1" applyAlignment="1" applyProtection="1">
      <alignment horizontal="center" textRotation="90" shrinkToFit="1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47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48" xfId="0" applyNumberFormat="1" applyFont="1" applyFill="1" applyBorder="1" applyAlignment="1" applyProtection="1">
      <alignment horizontal="center" vertical="center"/>
      <protection hidden="1"/>
    </xf>
    <xf numFmtId="0" fontId="17" fillId="0" borderId="49" xfId="0" applyNumberFormat="1" applyFont="1" applyFill="1" applyBorder="1" applyAlignment="1" applyProtection="1">
      <alignment horizontal="center" vertical="center"/>
      <protection hidden="1"/>
    </xf>
    <xf numFmtId="0" fontId="17" fillId="34" borderId="50" xfId="0" applyFont="1" applyFill="1" applyBorder="1" applyAlignment="1" applyProtection="1">
      <alignment horizontal="center" textRotation="90" shrinkToFit="1"/>
      <protection hidden="1"/>
    </xf>
    <xf numFmtId="0" fontId="17" fillId="34" borderId="51" xfId="0" applyFont="1" applyFill="1" applyBorder="1" applyAlignment="1" applyProtection="1">
      <alignment horizontal="center" textRotation="90" shrinkToFit="1"/>
      <protection hidden="1"/>
    </xf>
    <xf numFmtId="0" fontId="17" fillId="34" borderId="52" xfId="0" applyFont="1" applyFill="1" applyBorder="1" applyAlignment="1" applyProtection="1">
      <alignment horizontal="center" textRotation="90" shrinkToFit="1"/>
      <protection hidden="1"/>
    </xf>
    <xf numFmtId="20" fontId="17" fillId="0" borderId="17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17" fillId="0" borderId="47" xfId="0" applyFont="1" applyFill="1" applyBorder="1" applyAlignment="1" applyProtection="1">
      <alignment horizontal="center" vertical="center"/>
      <protection hidden="1"/>
    </xf>
    <xf numFmtId="0" fontId="17" fillId="33" borderId="19" xfId="0" applyFont="1" applyFill="1" applyBorder="1" applyAlignment="1" applyProtection="1">
      <alignment horizontal="center" vertical="center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7" fillId="33" borderId="20" xfId="0" applyFont="1" applyFill="1" applyBorder="1" applyAlignment="1" applyProtection="1">
      <alignment horizontal="center" vertical="center"/>
      <protection hidden="1"/>
    </xf>
    <xf numFmtId="0" fontId="17" fillId="0" borderId="53" xfId="0" applyNumberFormat="1" applyFont="1" applyFill="1" applyBorder="1" applyAlignment="1" applyProtection="1">
      <alignment horizontal="center" vertical="center"/>
      <protection hidden="1"/>
    </xf>
    <xf numFmtId="1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NumberFormat="1" applyFont="1" applyFill="1" applyBorder="1" applyAlignment="1" applyProtection="1">
      <alignment horizontal="center" vertical="center"/>
      <protection hidden="1"/>
    </xf>
    <xf numFmtId="1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54" xfId="0" applyFont="1" applyFill="1" applyBorder="1" applyAlignment="1" applyProtection="1">
      <alignment horizontal="left" vertical="center" shrinkToFit="1"/>
      <protection hidden="1"/>
    </xf>
    <xf numFmtId="0" fontId="17" fillId="0" borderId="55" xfId="0" applyNumberFormat="1" applyFont="1" applyFill="1" applyBorder="1" applyAlignment="1" applyProtection="1">
      <alignment horizontal="center" vertical="center"/>
      <protection hidden="1"/>
    </xf>
    <xf numFmtId="0" fontId="17" fillId="34" borderId="56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15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36" xfId="0" applyNumberFormat="1" applyFont="1" applyFill="1" applyBorder="1" applyAlignment="1" applyProtection="1">
      <alignment horizontal="center" vertical="center"/>
      <protection hidden="1"/>
    </xf>
    <xf numFmtId="171" fontId="17" fillId="0" borderId="49" xfId="0" applyNumberFormat="1" applyFont="1" applyFill="1" applyBorder="1" applyAlignment="1" applyProtection="1">
      <alignment horizontal="center" vertical="center"/>
      <protection hidden="1"/>
    </xf>
    <xf numFmtId="171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49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left" vertical="center" shrinkToFit="1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33" borderId="57" xfId="0" applyFont="1" applyFill="1" applyBorder="1" applyAlignment="1" applyProtection="1">
      <alignment horizontal="center" vertical="center"/>
      <protection hidden="1"/>
    </xf>
    <xf numFmtId="0" fontId="17" fillId="33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45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46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58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18" xfId="0" applyFont="1" applyFill="1" applyBorder="1" applyAlignment="1" applyProtection="1">
      <alignment horizontal="left" vertical="center" shrinkToFit="1"/>
      <protection locked="0"/>
    </xf>
    <xf numFmtId="0" fontId="17" fillId="0" borderId="59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54" xfId="0" applyFont="1" applyFill="1" applyBorder="1" applyAlignment="1" applyProtection="1">
      <alignment horizontal="left" vertical="center" shrinkToFit="1"/>
      <protection locked="0"/>
    </xf>
    <xf numFmtId="0" fontId="17" fillId="33" borderId="31" xfId="0" applyFont="1" applyFill="1" applyBorder="1" applyAlignment="1" applyProtection="1">
      <alignment horizontal="center" vertical="center"/>
      <protection hidden="1"/>
    </xf>
    <xf numFmtId="0" fontId="17" fillId="33" borderId="32" xfId="0" applyFont="1" applyFill="1" applyBorder="1" applyAlignment="1" applyProtection="1">
      <alignment horizontal="center" vertical="center"/>
      <protection hidden="1"/>
    </xf>
    <xf numFmtId="0" fontId="17" fillId="33" borderId="33" xfId="0" applyFont="1" applyFill="1" applyBorder="1" applyAlignment="1" applyProtection="1">
      <alignment horizontal="center" vertical="center"/>
      <protection hidden="1"/>
    </xf>
    <xf numFmtId="0" fontId="17" fillId="0" borderId="60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170" fontId="17" fillId="0" borderId="45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16" xfId="0" applyFont="1" applyFill="1" applyBorder="1" applyAlignment="1" applyProtection="1">
      <alignment horizontal="left" vertical="center" shrinkToFit="1"/>
      <protection hidden="1"/>
    </xf>
    <xf numFmtId="0" fontId="28" fillId="0" borderId="17" xfId="0" applyFont="1" applyFill="1" applyBorder="1" applyAlignment="1" applyProtection="1">
      <alignment horizontal="left" vertical="center" shrinkToFit="1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45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54" xfId="0" applyFont="1" applyFill="1" applyBorder="1" applyAlignment="1" applyProtection="1">
      <alignment horizontal="left" vertical="center" shrinkToFit="1"/>
      <protection hidden="1"/>
    </xf>
    <xf numFmtId="0" fontId="28" fillId="34" borderId="31" xfId="0" applyFont="1" applyFill="1" applyBorder="1" applyAlignment="1" applyProtection="1">
      <alignment horizontal="center" vertical="center" shrinkToFit="1"/>
      <protection hidden="1"/>
    </xf>
    <xf numFmtId="0" fontId="28" fillId="34" borderId="32" xfId="0" applyFont="1" applyFill="1" applyBorder="1" applyAlignment="1" applyProtection="1">
      <alignment horizontal="center" vertical="center" shrinkToFit="1"/>
      <protection hidden="1"/>
    </xf>
    <xf numFmtId="0" fontId="28" fillId="34" borderId="33" xfId="0" applyFont="1" applyFill="1" applyBorder="1" applyAlignment="1" applyProtection="1">
      <alignment horizontal="center" vertical="center" shrinkToFit="1"/>
      <protection hidden="1"/>
    </xf>
    <xf numFmtId="0" fontId="28" fillId="34" borderId="63" xfId="0" applyFont="1" applyFill="1" applyBorder="1" applyAlignment="1" applyProtection="1">
      <alignment horizontal="center" textRotation="90" shrinkToFit="1"/>
      <protection hidden="1"/>
    </xf>
    <xf numFmtId="0" fontId="28" fillId="34" borderId="64" xfId="0" applyFont="1" applyFill="1" applyBorder="1" applyAlignment="1" applyProtection="1">
      <alignment horizontal="center" textRotation="90" shrinkToFit="1"/>
      <protection hidden="1"/>
    </xf>
    <xf numFmtId="0" fontId="28" fillId="34" borderId="65" xfId="0" applyFont="1" applyFill="1" applyBorder="1" applyAlignment="1" applyProtection="1">
      <alignment horizontal="center" textRotation="90" shrinkToFit="1"/>
      <protection hidden="1"/>
    </xf>
    <xf numFmtId="0" fontId="28" fillId="34" borderId="66" xfId="0" applyFont="1" applyFill="1" applyBorder="1" applyAlignment="1" applyProtection="1">
      <alignment horizontal="center" textRotation="90" shrinkToFit="1"/>
      <protection hidden="1"/>
    </xf>
    <xf numFmtId="0" fontId="28" fillId="34" borderId="67" xfId="0" applyFont="1" applyFill="1" applyBorder="1" applyAlignment="1" applyProtection="1">
      <alignment horizontal="center" textRotation="90" shrinkToFit="1"/>
      <protection hidden="1"/>
    </xf>
    <xf numFmtId="0" fontId="28" fillId="34" borderId="68" xfId="0" applyFont="1" applyFill="1" applyBorder="1" applyAlignment="1" applyProtection="1">
      <alignment horizontal="center" textRotation="90" shrinkToFit="1"/>
      <protection hidden="1"/>
    </xf>
    <xf numFmtId="0" fontId="28" fillId="33" borderId="17" xfId="0" applyFont="1" applyFill="1" applyBorder="1" applyAlignment="1" applyProtection="1">
      <alignment horizontal="center" vertical="center"/>
      <protection hidden="1"/>
    </xf>
    <xf numFmtId="0" fontId="28" fillId="33" borderId="11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58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59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54" xfId="0" applyFont="1" applyFill="1" applyBorder="1" applyAlignment="1" applyProtection="1">
      <alignment horizontal="left" vertical="center" shrinkToFit="1"/>
      <protection hidden="1"/>
    </xf>
    <xf numFmtId="0" fontId="28" fillId="0" borderId="46" xfId="0" applyFont="1" applyFill="1" applyBorder="1" applyAlignment="1" applyProtection="1">
      <alignment horizontal="left" vertical="center" shrinkToFit="1"/>
      <protection hidden="1"/>
    </xf>
    <xf numFmtId="20" fontId="28" fillId="0" borderId="17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25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0" fontId="28" fillId="0" borderId="17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33" borderId="34" xfId="0" applyFont="1" applyFill="1" applyBorder="1" applyAlignment="1" applyProtection="1">
      <alignment horizontal="center" vertical="center"/>
      <protection hidden="1"/>
    </xf>
    <xf numFmtId="0" fontId="28" fillId="33" borderId="32" xfId="0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47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17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8" fillId="0" borderId="53" xfId="0" applyFont="1" applyFill="1" applyBorder="1" applyAlignment="1" applyProtection="1">
      <alignment horizontal="center" vertical="center"/>
      <protection hidden="1"/>
    </xf>
    <xf numFmtId="0" fontId="28" fillId="0" borderId="47" xfId="0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 applyProtection="1">
      <alignment horizontal="center" vertical="center"/>
      <protection hidden="1"/>
    </xf>
    <xf numFmtId="20" fontId="28" fillId="0" borderId="15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34" borderId="69" xfId="0" applyFont="1" applyFill="1" applyBorder="1" applyAlignment="1" applyProtection="1">
      <alignment horizontal="center" textRotation="90" shrinkToFit="1"/>
      <protection hidden="1"/>
    </xf>
    <xf numFmtId="0" fontId="28" fillId="34" borderId="70" xfId="0" applyFont="1" applyFill="1" applyBorder="1" applyAlignment="1" applyProtection="1">
      <alignment horizontal="center" textRotation="90" shrinkToFit="1"/>
      <protection hidden="1"/>
    </xf>
    <xf numFmtId="0" fontId="28" fillId="34" borderId="71" xfId="0" applyFont="1" applyFill="1" applyBorder="1" applyAlignment="1" applyProtection="1">
      <alignment horizontal="center" textRotation="90" shrinkToFit="1"/>
      <protection hidden="1"/>
    </xf>
    <xf numFmtId="0" fontId="28" fillId="34" borderId="72" xfId="0" applyFont="1" applyFill="1" applyBorder="1" applyAlignment="1" applyProtection="1">
      <alignment horizontal="center" textRotation="90" shrinkToFit="1"/>
      <protection hidden="1"/>
    </xf>
    <xf numFmtId="0" fontId="28" fillId="34" borderId="34" xfId="0" applyFont="1" applyFill="1" applyBorder="1" applyAlignment="1" applyProtection="1">
      <alignment horizontal="center" vertical="center"/>
      <protection hidden="1"/>
    </xf>
    <xf numFmtId="0" fontId="28" fillId="34" borderId="32" xfId="0" applyFont="1" applyFill="1" applyBorder="1" applyAlignment="1" applyProtection="1">
      <alignment horizontal="center" vertical="center"/>
      <protection hidden="1"/>
    </xf>
    <xf numFmtId="0" fontId="28" fillId="34" borderId="37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15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8" fillId="0" borderId="55" xfId="0" applyFont="1" applyFill="1" applyBorder="1" applyAlignment="1" applyProtection="1">
      <alignment horizontal="center" vertical="center"/>
      <protection hidden="1"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8" fillId="0" borderId="48" xfId="0" applyNumberFormat="1" applyFont="1" applyFill="1" applyBorder="1" applyAlignment="1" applyProtection="1">
      <alignment horizontal="center" vertical="center"/>
      <protection hidden="1"/>
    </xf>
    <xf numFmtId="0" fontId="28" fillId="0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NumberFormat="1" applyFont="1" applyFill="1" applyBorder="1" applyAlignment="1" applyProtection="1">
      <alignment horizontal="center" vertical="center"/>
      <protection hidden="1"/>
    </xf>
    <xf numFmtId="171" fontId="28" fillId="0" borderId="28" xfId="0" applyNumberFormat="1" applyFont="1" applyFill="1" applyBorder="1" applyAlignment="1" applyProtection="1">
      <alignment horizontal="center" vertical="center"/>
      <protection hidden="1"/>
    </xf>
    <xf numFmtId="171" fontId="28" fillId="0" borderId="29" xfId="0" applyNumberFormat="1" applyFont="1" applyFill="1" applyBorder="1" applyAlignment="1" applyProtection="1">
      <alignment horizontal="center" vertical="center"/>
      <protection hidden="1"/>
    </xf>
    <xf numFmtId="171" fontId="28" fillId="0" borderId="49" xfId="0" applyNumberFormat="1" applyFont="1" applyFill="1" applyBorder="1" applyAlignment="1" applyProtection="1">
      <alignment horizontal="center" vertical="center"/>
      <protection hidden="1"/>
    </xf>
    <xf numFmtId="17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33" borderId="48" xfId="0" applyFont="1" applyFill="1" applyBorder="1" applyAlignment="1" applyProtection="1">
      <alignment horizontal="center" vertical="center"/>
      <protection hidden="1"/>
    </xf>
    <xf numFmtId="0" fontId="28" fillId="33" borderId="49" xfId="0" applyFont="1" applyFill="1" applyBorder="1" applyAlignment="1" applyProtection="1">
      <alignment horizontal="center" vertical="center"/>
      <protection hidden="1"/>
    </xf>
    <xf numFmtId="0" fontId="28" fillId="0" borderId="53" xfId="0" applyNumberFormat="1" applyFont="1" applyFill="1" applyBorder="1" applyAlignment="1" applyProtection="1">
      <alignment horizontal="center" vertical="center"/>
      <protection hidden="1"/>
    </xf>
    <xf numFmtId="0" fontId="28" fillId="0" borderId="17" xfId="0" applyNumberFormat="1" applyFont="1" applyFill="1" applyBorder="1" applyAlignment="1" applyProtection="1">
      <alignment horizontal="center" vertical="center"/>
      <protection hidden="1"/>
    </xf>
    <xf numFmtId="1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30" xfId="0" applyFont="1" applyFill="1" applyBorder="1" applyAlignment="1" applyProtection="1">
      <alignment horizontal="center" vertical="center"/>
      <protection hidden="1"/>
    </xf>
    <xf numFmtId="171" fontId="28" fillId="0" borderId="26" xfId="0" applyNumberFormat="1" applyFont="1" applyFill="1" applyBorder="1" applyAlignment="1" applyProtection="1">
      <alignment horizontal="center" vertical="center"/>
      <protection hidden="1"/>
    </xf>
    <xf numFmtId="171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22" xfId="0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1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55" xfId="0" applyNumberFormat="1" applyFont="1" applyFill="1" applyBorder="1" applyAlignment="1" applyProtection="1">
      <alignment horizontal="center" vertical="center"/>
      <protection hidden="1"/>
    </xf>
    <xf numFmtId="0" fontId="28" fillId="34" borderId="38" xfId="0" applyFont="1" applyFill="1" applyBorder="1" applyAlignment="1" applyProtection="1">
      <alignment horizontal="center" vertical="center"/>
      <protection hidden="1"/>
    </xf>
    <xf numFmtId="0" fontId="28" fillId="34" borderId="56" xfId="0" applyFont="1" applyFill="1" applyBorder="1" applyAlignment="1" applyProtection="1">
      <alignment horizontal="center" vertical="center"/>
      <protection hidden="1"/>
    </xf>
    <xf numFmtId="0" fontId="28" fillId="33" borderId="21" xfId="0" applyFont="1" applyFill="1" applyBorder="1" applyAlignment="1" applyProtection="1">
      <alignment horizontal="center" vertical="center"/>
      <protection hidden="1"/>
    </xf>
    <xf numFmtId="0" fontId="28" fillId="33" borderId="22" xfId="0" applyFont="1" applyFill="1" applyBorder="1" applyAlignment="1" applyProtection="1">
      <alignment horizontal="center" vertical="center"/>
      <protection hidden="1"/>
    </xf>
    <xf numFmtId="0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28" fillId="0" borderId="26" xfId="0" applyNumberFormat="1" applyFont="1" applyFill="1" applyBorder="1" applyAlignment="1" applyProtection="1">
      <alignment horizontal="center" vertical="center"/>
      <protection hidden="1"/>
    </xf>
    <xf numFmtId="0" fontId="28" fillId="33" borderId="57" xfId="0" applyFont="1" applyFill="1" applyBorder="1" applyAlignment="1" applyProtection="1">
      <alignment horizontal="center" vertical="center"/>
      <protection hidden="1"/>
    </xf>
    <xf numFmtId="0" fontId="28" fillId="33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33" borderId="31" xfId="0" applyFont="1" applyFill="1" applyBorder="1" applyAlignment="1" applyProtection="1">
      <alignment horizontal="center" vertical="center"/>
      <protection hidden="1"/>
    </xf>
    <xf numFmtId="0" fontId="27" fillId="33" borderId="32" xfId="0" applyFont="1" applyFill="1" applyBorder="1" applyAlignment="1" applyProtection="1">
      <alignment horizontal="center" vertical="center"/>
      <protection hidden="1"/>
    </xf>
    <xf numFmtId="0" fontId="27" fillId="33" borderId="33" xfId="0" applyFont="1" applyFill="1" applyBorder="1" applyAlignment="1" applyProtection="1">
      <alignment horizontal="center" vertical="center"/>
      <protection hidden="1"/>
    </xf>
    <xf numFmtId="0" fontId="27" fillId="0" borderId="60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16" xfId="0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7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19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19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20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1">
      <selection activeCell="N20" sqref="N20:AF20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230" t="s">
        <v>30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236" t="s">
        <v>32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S3" s="237" t="s">
        <v>0</v>
      </c>
      <c r="AT3" s="237"/>
      <c r="AU3" s="237"/>
      <c r="AV3" s="237"/>
      <c r="AW3" s="237"/>
      <c r="AX3" s="237"/>
      <c r="AY3" s="237"/>
      <c r="AZ3" s="237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234" t="s">
        <v>31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233" t="s">
        <v>33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209" t="s">
        <v>28</v>
      </c>
      <c r="C10" s="209"/>
      <c r="D10" s="209"/>
      <c r="E10" s="209"/>
      <c r="F10" s="209"/>
      <c r="G10" s="209"/>
      <c r="H10" s="217">
        <v>0.375</v>
      </c>
      <c r="I10" s="217"/>
      <c r="J10" s="217"/>
      <c r="K10" s="217"/>
      <c r="L10" s="21" t="s">
        <v>1</v>
      </c>
      <c r="T10" s="26" t="s">
        <v>2</v>
      </c>
      <c r="U10" s="213">
        <v>1</v>
      </c>
      <c r="V10" s="213" t="s">
        <v>3</v>
      </c>
      <c r="W10" s="27" t="s">
        <v>4</v>
      </c>
      <c r="X10" s="208">
        <v>20</v>
      </c>
      <c r="Y10" s="208"/>
      <c r="Z10" s="208"/>
      <c r="AA10" s="208"/>
      <c r="AB10" s="208"/>
      <c r="AC10" s="210">
        <f>IF(U10=2,"Halbzeit:","")</f>
      </c>
      <c r="AD10" s="210"/>
      <c r="AE10" s="210"/>
      <c r="AF10" s="210"/>
      <c r="AG10" s="210"/>
      <c r="AH10" s="210"/>
      <c r="AI10" s="208"/>
      <c r="AJ10" s="208"/>
      <c r="AK10" s="208"/>
      <c r="AL10" s="208"/>
      <c r="AM10" s="208"/>
      <c r="AO10" s="209" t="s">
        <v>5</v>
      </c>
      <c r="AP10" s="209"/>
      <c r="AQ10" s="209"/>
      <c r="AR10" s="209"/>
      <c r="AS10" s="209"/>
      <c r="AT10" s="209"/>
      <c r="AU10" s="209"/>
      <c r="AV10" s="209"/>
      <c r="AW10" s="238">
        <v>2</v>
      </c>
      <c r="AX10" s="238"/>
      <c r="AY10" s="238"/>
      <c r="AZ10" s="238"/>
      <c r="BA10" s="238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224" t="s">
        <v>7</v>
      </c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6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221" t="s">
        <v>34</v>
      </c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3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218" t="s">
        <v>35</v>
      </c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20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218" t="s">
        <v>36</v>
      </c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20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218" t="s">
        <v>37</v>
      </c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20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27" t="s">
        <v>38</v>
      </c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9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211" t="s">
        <v>9</v>
      </c>
      <c r="C24" s="212"/>
      <c r="D24" s="137" t="s">
        <v>29</v>
      </c>
      <c r="E24" s="138"/>
      <c r="F24" s="138"/>
      <c r="G24" s="147"/>
      <c r="H24" s="137" t="s">
        <v>10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47"/>
      <c r="AU24" s="137" t="s">
        <v>11</v>
      </c>
      <c r="AV24" s="138"/>
      <c r="AW24" s="138"/>
      <c r="AX24" s="138"/>
      <c r="AY24" s="138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205">
        <v>1</v>
      </c>
      <c r="C25" s="206"/>
      <c r="D25" s="214">
        <f>$H$10</f>
        <v>0.375</v>
      </c>
      <c r="E25" s="215"/>
      <c r="F25" s="215"/>
      <c r="G25" s="216"/>
      <c r="H25" s="193" t="str">
        <f>N20</f>
        <v>1. FC Schwalmstadt</v>
      </c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97" t="s">
        <v>12</v>
      </c>
      <c r="AB25" s="194" t="str">
        <f>N17</f>
        <v>JSG Homberg-Efze</v>
      </c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207"/>
      <c r="AU25" s="240"/>
      <c r="AV25" s="241"/>
      <c r="AW25" s="241"/>
      <c r="AX25" s="239"/>
      <c r="AY25" s="239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59">
        <v>2</v>
      </c>
      <c r="C26" s="160"/>
      <c r="D26" s="168">
        <f aca="true" t="shared" si="0" ref="D26:D34">D25+TEXT($U$10*($X$10/1440)+($AW$10/1440)+($AI$10/1440),"hh:mm")</f>
        <v>0.3902777777777778</v>
      </c>
      <c r="E26" s="169"/>
      <c r="F26" s="169"/>
      <c r="G26" s="170"/>
      <c r="H26" s="114" t="str">
        <f>N16</f>
        <v>FSG Gudensberg II (7er)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99" t="s">
        <v>12</v>
      </c>
      <c r="AB26" s="115" t="str">
        <f>N18</f>
        <v>JSG Geismar/H/K/L/Z II (7er)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24"/>
      <c r="AU26" s="145"/>
      <c r="AV26" s="146"/>
      <c r="AW26" s="146"/>
      <c r="AX26" s="152"/>
      <c r="AY26" s="152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59">
        <v>3</v>
      </c>
      <c r="C27" s="160"/>
      <c r="D27" s="168">
        <f t="shared" si="0"/>
        <v>0.40555555555555556</v>
      </c>
      <c r="E27" s="169"/>
      <c r="F27" s="169"/>
      <c r="G27" s="170"/>
      <c r="H27" s="114" t="str">
        <f>N17</f>
        <v>JSG Homberg-Efze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99" t="s">
        <v>12</v>
      </c>
      <c r="AB27" s="115" t="str">
        <f>N19</f>
        <v>JSG Melsungen-Körle II</v>
      </c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24"/>
      <c r="AU27" s="145"/>
      <c r="AV27" s="146"/>
      <c r="AW27" s="146"/>
      <c r="AX27" s="152"/>
      <c r="AY27" s="152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59">
        <v>4</v>
      </c>
      <c r="C28" s="160"/>
      <c r="D28" s="168">
        <f t="shared" si="0"/>
        <v>0.42083333333333334</v>
      </c>
      <c r="E28" s="169"/>
      <c r="F28" s="169"/>
      <c r="G28" s="170"/>
      <c r="H28" s="114" t="str">
        <f>N18</f>
        <v>JSG Geismar/H/K/L/Z II (7er)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99" t="s">
        <v>12</v>
      </c>
      <c r="AB28" s="115" t="str">
        <f>N20</f>
        <v>1. FC Schwalmstadt</v>
      </c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24"/>
      <c r="AU28" s="145"/>
      <c r="AV28" s="146"/>
      <c r="AW28" s="146"/>
      <c r="AX28" s="152"/>
      <c r="AY28" s="152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59">
        <v>5</v>
      </c>
      <c r="C29" s="160"/>
      <c r="D29" s="168">
        <f t="shared" si="0"/>
        <v>0.4361111111111111</v>
      </c>
      <c r="E29" s="169"/>
      <c r="F29" s="169"/>
      <c r="G29" s="170"/>
      <c r="H29" s="114" t="str">
        <f>N19</f>
        <v>JSG Melsungen-Körle II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99" t="s">
        <v>12</v>
      </c>
      <c r="AB29" s="115" t="str">
        <f>N16</f>
        <v>FSG Gudensberg II (7er)</v>
      </c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24"/>
      <c r="AU29" s="145"/>
      <c r="AV29" s="146"/>
      <c r="AW29" s="146"/>
      <c r="AX29" s="152"/>
      <c r="AY29" s="152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59">
        <v>6</v>
      </c>
      <c r="C30" s="160"/>
      <c r="D30" s="168">
        <f t="shared" si="0"/>
        <v>0.4513888888888889</v>
      </c>
      <c r="E30" s="169"/>
      <c r="F30" s="169"/>
      <c r="G30" s="170"/>
      <c r="H30" s="114" t="str">
        <f>N17</f>
        <v>JSG Homberg-Efze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99" t="s">
        <v>12</v>
      </c>
      <c r="AB30" s="115" t="str">
        <f>N18</f>
        <v>JSG Geismar/H/K/L/Z II (7er)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24"/>
      <c r="AU30" s="145"/>
      <c r="AV30" s="146"/>
      <c r="AW30" s="146"/>
      <c r="AX30" s="152"/>
      <c r="AY30" s="152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59">
        <v>7</v>
      </c>
      <c r="C31" s="160"/>
      <c r="D31" s="168">
        <f t="shared" si="0"/>
        <v>0.4666666666666667</v>
      </c>
      <c r="E31" s="169"/>
      <c r="F31" s="169"/>
      <c r="G31" s="170"/>
      <c r="H31" s="114" t="str">
        <f>N19</f>
        <v>JSG Melsungen-Körle II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99" t="s">
        <v>12</v>
      </c>
      <c r="AB31" s="115" t="str">
        <f>N20</f>
        <v>1. FC Schwalmstadt</v>
      </c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24"/>
      <c r="AU31" s="145"/>
      <c r="AV31" s="146"/>
      <c r="AW31" s="146"/>
      <c r="AX31" s="152"/>
      <c r="AY31" s="152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59">
        <v>8</v>
      </c>
      <c r="C32" s="160"/>
      <c r="D32" s="168">
        <f t="shared" si="0"/>
        <v>0.48194444444444445</v>
      </c>
      <c r="E32" s="169"/>
      <c r="F32" s="169"/>
      <c r="G32" s="170"/>
      <c r="H32" s="114" t="str">
        <f>N16</f>
        <v>FSG Gudensberg II (7er)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99" t="s">
        <v>12</v>
      </c>
      <c r="AB32" s="115" t="str">
        <f>N17</f>
        <v>JSG Homberg-Efze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24"/>
      <c r="AU32" s="145"/>
      <c r="AV32" s="146"/>
      <c r="AW32" s="146"/>
      <c r="AX32" s="152"/>
      <c r="AY32" s="152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59">
        <v>9</v>
      </c>
      <c r="C33" s="160"/>
      <c r="D33" s="168">
        <f t="shared" si="0"/>
        <v>0.49722222222222223</v>
      </c>
      <c r="E33" s="169"/>
      <c r="F33" s="169"/>
      <c r="G33" s="170"/>
      <c r="H33" s="114" t="str">
        <f>N18</f>
        <v>JSG Geismar/H/K/L/Z II (7er)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99" t="s">
        <v>12</v>
      </c>
      <c r="AB33" s="115" t="str">
        <f>N19</f>
        <v>JSG Melsungen-Körle II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24"/>
      <c r="AU33" s="145"/>
      <c r="AV33" s="146"/>
      <c r="AW33" s="146"/>
      <c r="AX33" s="152"/>
      <c r="AY33" s="152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75">
        <v>10</v>
      </c>
      <c r="C34" s="198"/>
      <c r="D34" s="134">
        <f t="shared" si="0"/>
        <v>0.5125</v>
      </c>
      <c r="E34" s="135"/>
      <c r="F34" s="135"/>
      <c r="G34" s="136"/>
      <c r="H34" s="111" t="str">
        <f>N20</f>
        <v>1. FC Schwalmstadt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00" t="s">
        <v>12</v>
      </c>
      <c r="AB34" s="112" t="str">
        <f>N16</f>
        <v>FSG Gudensberg II (7er)</v>
      </c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29"/>
      <c r="AU34" s="200"/>
      <c r="AV34" s="201"/>
      <c r="AW34" s="201"/>
      <c r="AX34" s="199"/>
      <c r="AY34" s="199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153" t="str">
        <f>D44</f>
        <v>FSG Gudensberg II (7er)</v>
      </c>
      <c r="X36" s="149"/>
      <c r="Y36" s="149"/>
      <c r="Z36" s="149" t="str">
        <f>D45</f>
        <v>JSG Homberg-Efze</v>
      </c>
      <c r="AA36" s="149"/>
      <c r="AB36" s="149"/>
      <c r="AC36" s="149" t="str">
        <f>D46</f>
        <v>JSG Geismar/H/K/L/Z II (7er)</v>
      </c>
      <c r="AD36" s="149"/>
      <c r="AE36" s="149"/>
      <c r="AF36" s="149" t="str">
        <f>D47</f>
        <v>JSG Melsungen-Körle II</v>
      </c>
      <c r="AG36" s="149"/>
      <c r="AH36" s="149"/>
      <c r="AI36" s="149" t="str">
        <f>D48</f>
        <v>1. FC Schwalmstadt</v>
      </c>
      <c r="AJ36" s="149"/>
      <c r="AK36" s="165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154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66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154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66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154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66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154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66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54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66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54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66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131" t="str">
        <f>IF(' '!$K$8=0,"Abschlusstabelle",IF(' '!$A$8&lt;&gt;' '!$K$8,"es liegen nicht alle Ergebnisse vor","Abschlusstabelle"))</f>
        <v>Abschlusstabelle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  <c r="W43" s="155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67"/>
      <c r="AL43" s="143" t="s">
        <v>14</v>
      </c>
      <c r="AM43" s="143"/>
      <c r="AN43" s="143"/>
      <c r="AO43" s="142" t="s">
        <v>15</v>
      </c>
      <c r="AP43" s="143"/>
      <c r="AQ43" s="144"/>
      <c r="AR43" s="142" t="s">
        <v>16</v>
      </c>
      <c r="AS43" s="143"/>
      <c r="AT43" s="144"/>
      <c r="AU43" s="142" t="s">
        <v>17</v>
      </c>
      <c r="AV43" s="143"/>
      <c r="AW43" s="144"/>
      <c r="AX43" s="142" t="s">
        <v>18</v>
      </c>
      <c r="AY43" s="143"/>
      <c r="AZ43" s="143"/>
      <c r="BA43" s="143"/>
      <c r="BB43" s="143"/>
      <c r="BC43" s="148" t="s">
        <v>19</v>
      </c>
      <c r="BD43" s="148"/>
      <c r="BE43" s="148"/>
      <c r="BF43" s="148" t="s">
        <v>20</v>
      </c>
      <c r="BG43" s="148"/>
      <c r="BH43" s="197"/>
    </row>
    <row r="44" spans="2:60" s="88" customFormat="1" ht="18" customHeight="1">
      <c r="B44" s="203">
        <f>IF(' '!$K$8=0,"",1)</f>
      </c>
      <c r="C44" s="204"/>
      <c r="D44" s="193" t="str">
        <f>VLOOKUP(' '!A3,' '!$B$3:$N$7,4,0)</f>
        <v>FSG Gudensberg II (7er)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5"/>
      <c r="W44" s="139"/>
      <c r="X44" s="139"/>
      <c r="Y44" s="140"/>
      <c r="Z44" s="117">
        <f>IF(AND(D44&amp;$Z$36=VLOOKUP(D44&amp;$Z$36,' '!$D$13:$H$32,1,0),VLOOKUP(D44&amp;$Z$36,' '!$D$13:$H$32,4,0)&lt;&gt;""),VLOOKUP(D44&amp;$Z$36,' '!$D$13:$H$32,4,0),VLOOKUP(D44&amp;$Z$36,' '!$D$13:$H$32,5,0))</f>
      </c>
      <c r="AA44" s="118"/>
      <c r="AB44" s="119"/>
      <c r="AC44" s="117">
        <f>IF(AND(D44&amp;$AC$36=VLOOKUP(D44&amp;$AC$36,' '!$D$13:$H$32,1,0),VLOOKUP(D44&amp;$AC$36,' '!$D$13:$H$32,4,0)&lt;&gt;""),VLOOKUP(D44&amp;$AC$36,' '!$D$13:$H$32,4,0),VLOOKUP(D44&amp;$AC$36,' '!$D$13:$H$32,5,0))</f>
      </c>
      <c r="AD44" s="118"/>
      <c r="AE44" s="119"/>
      <c r="AF44" s="117">
        <f>IF(AND(D44&amp;$AF$36=VLOOKUP(D44&amp;$AF$36,' '!$D$13:$H$32,1,0),VLOOKUP(D44&amp;$AF$36,' '!$D$13:$H$32,4,0)&lt;&gt;""),VLOOKUP(D44&amp;$AF$36,' '!$D$13:$H$32,4,0),VLOOKUP(D44&amp;$AF$36,' '!$D$13:$H$32,5,0))</f>
      </c>
      <c r="AG44" s="118"/>
      <c r="AH44" s="119"/>
      <c r="AI44" s="122">
        <f>IF(AND(D44&amp;$AI$36=VLOOKUP(D44&amp;$AI$36,' '!$D$13:$H$32,1,0),VLOOKUP(D44&amp;$AI$36,' '!$D$13:$H$32,4,0)&lt;&gt;""),VLOOKUP(D44&amp;$AI$36,' '!$D$13:$H$32,4,0),VLOOKUP(D44&amp;$AI$36,' '!$D$13:$H$32,5,0))</f>
      </c>
      <c r="AJ44" s="123"/>
      <c r="AK44" s="123"/>
      <c r="AL44" s="163">
        <f>IF(' '!$K$8=0,"",VLOOKUP(' '!A3,' '!$B$3:$N$7,10,0))</f>
      </c>
      <c r="AM44" s="163"/>
      <c r="AN44" s="164"/>
      <c r="AO44" s="141">
        <f>IF(' '!$K$8=0,"",VLOOKUP(' '!A3,' '!$B$3:$N$7,11,0))</f>
      </c>
      <c r="AP44" s="141"/>
      <c r="AQ44" s="141"/>
      <c r="AR44" s="141">
        <f>IF(' '!$K$8=0,"",VLOOKUP(' '!A3,' '!$B$3:$N$7,12,0))</f>
      </c>
      <c r="AS44" s="141"/>
      <c r="AT44" s="141"/>
      <c r="AU44" s="141">
        <f>IF(' '!$K$8=0,"",VLOOKUP(' '!A3,' '!$B$3:$N$7,13,0))</f>
      </c>
      <c r="AV44" s="141"/>
      <c r="AW44" s="141"/>
      <c r="AX44" s="156">
        <f>IF(' '!$K$8=0,"",VLOOKUP(' '!A3,' '!$B$3:$N$7,5,0))</f>
      </c>
      <c r="AY44" s="157"/>
      <c r="AZ44" s="104">
        <f>IF(' '!K8=0,"",":")</f>
      </c>
      <c r="BA44" s="157">
        <f>IF(' '!$K$8=0,"",VLOOKUP(' '!A3,' '!$B$3:$N$7,6,0))</f>
      </c>
      <c r="BB44" s="158"/>
      <c r="BC44" s="202">
        <f>IF(' '!$K$8=0,"",AX44-BA44)</f>
      </c>
      <c r="BD44" s="202"/>
      <c r="BE44" s="202"/>
      <c r="BF44" s="141">
        <f>IF(' '!$K$8=0,"",VLOOKUP(' '!A3,' '!$B$3:$N$7,7,0))</f>
      </c>
      <c r="BG44" s="141"/>
      <c r="BH44" s="196"/>
    </row>
    <row r="45" spans="2:60" s="88" customFormat="1" ht="18" customHeight="1">
      <c r="B45" s="127">
        <f>IF(' '!$K$8=0,"",IF(VLOOKUP(' '!A4,' '!$B$3:$D$7,3,0)=MAX(B$44:B44),"",' '!A4))</f>
      </c>
      <c r="C45" s="128"/>
      <c r="D45" s="114" t="str">
        <f>VLOOKUP(' '!A4,' '!$B$3:$N$7,4,0)</f>
        <v>JSG Homberg-Efze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6"/>
      <c r="W45" s="176">
        <f>IF(AND(D45&amp;$W$36=VLOOKUP(D45&amp;$W$36,' '!$D$13:$H$32,1,0),VLOOKUP(D45&amp;$W$36,' '!$D$13:$H$32,4,0)&lt;&gt;""),VLOOKUP(D45&amp;$W$36,' '!$D$13:$H$32,4,0),VLOOKUP(D45&amp;$W$36,' '!$D$13:$H$32,5,0))</f>
      </c>
      <c r="X45" s="176"/>
      <c r="Y45" s="159"/>
      <c r="Z45" s="177"/>
      <c r="AA45" s="178"/>
      <c r="AB45" s="179"/>
      <c r="AC45" s="117">
        <f>IF(AND(D45&amp;$AC$36=VLOOKUP(D45&amp;$AC$36,' '!$D$13:$H$32,1,0),VLOOKUP(D45&amp;$AC$36,' '!$D$13:$H$32,4,0)&lt;&gt;""),VLOOKUP(D45&amp;$AC$36,' '!$D$13:$H$32,4,0),VLOOKUP(D45&amp;$AC$36,' '!$D$13:$H$32,5,0))</f>
      </c>
      <c r="AD45" s="118"/>
      <c r="AE45" s="119"/>
      <c r="AF45" s="117">
        <f>IF(AND(D45&amp;$AF$36=VLOOKUP(D45&amp;$AF$36,' '!$D$13:$H$32,1,0),VLOOKUP(D45&amp;$AF$36,' '!$D$13:$H$32,4,0)&lt;&gt;""),VLOOKUP(D45&amp;$AF$36,' '!$D$13:$H$32,4,0),VLOOKUP(D45&amp;$AF$36,' '!$D$13:$H$32,5,0))</f>
      </c>
      <c r="AG45" s="118"/>
      <c r="AH45" s="119"/>
      <c r="AI45" s="122">
        <f>IF(AND(D45&amp;$AI$36=VLOOKUP(D45&amp;$AI$36,' '!$D$13:$H$32,1,0),VLOOKUP(D45&amp;$AI$36,' '!$D$13:$H$32,4,0)&lt;&gt;""),VLOOKUP(D45&amp;$AI$36,' '!$D$13:$H$32,4,0),VLOOKUP(D45&amp;$AI$36,' '!$D$13:$H$32,5,0))</f>
      </c>
      <c r="AJ45" s="123"/>
      <c r="AK45" s="123"/>
      <c r="AL45" s="161">
        <f>IF(' '!$K$8=0,"",VLOOKUP(' '!A4,' '!$B$3:$N$7,10,0))</f>
      </c>
      <c r="AM45" s="161"/>
      <c r="AN45" s="162"/>
      <c r="AO45" s="130">
        <f>IF(' '!$K$8=0,"",VLOOKUP(' '!A4,' '!$B$3:$N$7,11,0))</f>
      </c>
      <c r="AP45" s="130"/>
      <c r="AQ45" s="130"/>
      <c r="AR45" s="130">
        <f>IF(' '!$K$8=0,"",VLOOKUP(' '!A4,' '!$B$3:$N$7,12,0))</f>
      </c>
      <c r="AS45" s="130"/>
      <c r="AT45" s="130"/>
      <c r="AU45" s="130">
        <f>IF(' '!$K$8=0,"",VLOOKUP(' '!A4,' '!$B$3:$N$7,13,0))</f>
      </c>
      <c r="AV45" s="130"/>
      <c r="AW45" s="130"/>
      <c r="AX45" s="187">
        <f>IF(' '!$K$8=0,"",VLOOKUP(' '!A4,' '!$B$3:$N$7,5,0))</f>
      </c>
      <c r="AY45" s="188"/>
      <c r="AZ45" s="105">
        <f>IF(' '!K8=0,"",":")</f>
      </c>
      <c r="BA45" s="188">
        <f>IF(' '!$K$8=0,"",VLOOKUP(' '!A4,' '!$B$3:$N$7,6,0))</f>
      </c>
      <c r="BB45" s="189"/>
      <c r="BC45" s="181">
        <f>IF(' '!$K$8=0,"",AX45-BA45)</f>
      </c>
      <c r="BD45" s="181"/>
      <c r="BE45" s="181"/>
      <c r="BF45" s="130">
        <f>IF(' '!$K$8=0,"",VLOOKUP(' '!A4,' '!$B$3:$N$7,7,0))</f>
      </c>
      <c r="BG45" s="130"/>
      <c r="BH45" s="180"/>
    </row>
    <row r="46" spans="2:60" s="88" customFormat="1" ht="18" customHeight="1">
      <c r="B46" s="127">
        <f>IF(' '!$K$8=0,"",IF(VLOOKUP(' '!A5,' '!$B$3:$D$7,3,0)=MAX(B$44:B45),"",' '!A5))</f>
      </c>
      <c r="C46" s="128"/>
      <c r="D46" s="114" t="str">
        <f>VLOOKUP(' '!A5,' '!$B$3:$N$7,4,0)</f>
        <v>JSG Geismar/H/K/L/Z II (7er)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6"/>
      <c r="W46" s="176">
        <f>IF(AND(D46&amp;$W$36=VLOOKUP(D46&amp;$W$36,' '!$D$13:$H$32,1,0),VLOOKUP(D46&amp;$W$36,' '!$D$13:$H$32,4,0)&lt;&gt;""),VLOOKUP(D46&amp;$W$36,' '!$D$13:$H$32,4,0),VLOOKUP(D46&amp;$W$36,' '!$D$13:$H$32,5,0))</f>
      </c>
      <c r="X46" s="176"/>
      <c r="Y46" s="159"/>
      <c r="Z46" s="117">
        <f>IF(AND(D46&amp;$Z$36=VLOOKUP(D46&amp;$Z$36,' '!$D$13:$H$32,1,0),VLOOKUP(D46&amp;$Z$36,' '!$D$13:$H$32,4,0)&lt;&gt;""),VLOOKUP(D46&amp;$Z$36,' '!$D$13:$H$32,4,0),VLOOKUP(D46&amp;$Z$36,' '!$D$13:$H$32,5,0))</f>
      </c>
      <c r="AA46" s="118"/>
      <c r="AB46" s="119"/>
      <c r="AC46" s="177"/>
      <c r="AD46" s="178"/>
      <c r="AE46" s="179"/>
      <c r="AF46" s="117">
        <f>IF(AND(D46&amp;$AF$36=VLOOKUP(D46&amp;$AF$36,' '!$D$13:$H$32,1,0),VLOOKUP(D46&amp;$AF$36,' '!$D$13:$H$32,4,0)&lt;&gt;""),VLOOKUP(D46&amp;$AF$36,' '!$D$13:$H$32,4,0),VLOOKUP(D46&amp;$AF$36,' '!$D$13:$H$32,5,0))</f>
      </c>
      <c r="AG46" s="118"/>
      <c r="AH46" s="119"/>
      <c r="AI46" s="122">
        <f>IF(AND(D46&amp;$AI$36=VLOOKUP(D46&amp;$AI$36,' '!$D$13:$H$32,1,0),VLOOKUP(D46&amp;$AI$36,' '!$D$13:$H$32,4,0)&lt;&gt;""),VLOOKUP(D46&amp;$AI$36,' '!$D$13:$H$32,4,0),VLOOKUP(D46&amp;$AI$36,' '!$D$13:$H$32,5,0))</f>
      </c>
      <c r="AJ46" s="123"/>
      <c r="AK46" s="123"/>
      <c r="AL46" s="161">
        <f>IF(' '!$K$8=0,"",VLOOKUP(' '!A5,' '!$B$3:$N$7,10,0))</f>
      </c>
      <c r="AM46" s="161"/>
      <c r="AN46" s="162"/>
      <c r="AO46" s="130">
        <f>IF(' '!$K$8=0,"",VLOOKUP(' '!A5,' '!$B$3:$N$7,11,0))</f>
      </c>
      <c r="AP46" s="130"/>
      <c r="AQ46" s="130"/>
      <c r="AR46" s="130">
        <f>IF(' '!$K$8=0,"",VLOOKUP(' '!A5,' '!$B$3:$N$7,12,0))</f>
      </c>
      <c r="AS46" s="130"/>
      <c r="AT46" s="130"/>
      <c r="AU46" s="130">
        <f>IF(' '!$K$8=0,"",VLOOKUP(' '!A5,' '!$B$3:$N$7,13,0))</f>
      </c>
      <c r="AV46" s="130"/>
      <c r="AW46" s="130"/>
      <c r="AX46" s="187">
        <f>IF(' '!$K$8=0,"",VLOOKUP(' '!A5,' '!$B$3:$N$7,5,0))</f>
      </c>
      <c r="AY46" s="188"/>
      <c r="AZ46" s="105">
        <f>IF(' '!K8=0,"",":")</f>
      </c>
      <c r="BA46" s="188">
        <f>IF(' '!$K$8=0,"",VLOOKUP(' '!A5,' '!$B$3:$N$7,6,0))</f>
      </c>
      <c r="BB46" s="189"/>
      <c r="BC46" s="181">
        <f>IF(' '!$K$8=0,"",AX46-BA46)</f>
      </c>
      <c r="BD46" s="181"/>
      <c r="BE46" s="181"/>
      <c r="BF46" s="130">
        <f>IF(' '!$K$8=0,"",VLOOKUP(' '!A5,' '!$B$3:$N$7,7,0))</f>
      </c>
      <c r="BG46" s="130"/>
      <c r="BH46" s="180"/>
    </row>
    <row r="47" spans="2:60" s="88" customFormat="1" ht="18" customHeight="1">
      <c r="B47" s="127">
        <f>IF(' '!$K$8=0,"",IF(VLOOKUP(' '!A6,' '!$B$3:$D$7,3,0)=MAX(B$44:B46),"",' '!A6))</f>
      </c>
      <c r="C47" s="128"/>
      <c r="D47" s="114" t="str">
        <f>VLOOKUP(' '!A6,' '!$B$3:$N$7,4,0)</f>
        <v>JSG Melsungen-Körle II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  <c r="W47" s="176">
        <f>IF(AND(D47&amp;$W$36=VLOOKUP(D47&amp;$W$36,' '!$D$13:$H$32,1,0),VLOOKUP(D47&amp;$W$36,' '!$D$13:$H$32,4,0)&lt;&gt;""),VLOOKUP(D47&amp;$W$36,' '!$D$13:$H$32,4,0),VLOOKUP(D47&amp;$W$36,' '!$D$13:$H$32,5,0))</f>
      </c>
      <c r="X47" s="176"/>
      <c r="Y47" s="159"/>
      <c r="Z47" s="117">
        <f>IF(AND(D47&amp;$Z$36=VLOOKUP(D47&amp;$Z$36,' '!$D$13:$H$32,1,0),VLOOKUP(D47&amp;$Z$36,' '!$D$13:$H$32,4,0)&lt;&gt;""),VLOOKUP(D47&amp;$Z$36,' '!$D$13:$H$32,4,0),VLOOKUP(D47&amp;$Z$36,' '!$D$13:$H$32,5,0))</f>
      </c>
      <c r="AA47" s="118"/>
      <c r="AB47" s="119"/>
      <c r="AC47" s="117">
        <f>IF(AND(D47&amp;$AC$36=VLOOKUP(D47&amp;$AC$36,' '!$D$13:$H$32,1,0),VLOOKUP(D47&amp;$AC$36,' '!$D$13:$H$32,4,0)&lt;&gt;""),VLOOKUP(D47&amp;$AC$36,' '!$D$13:$H$32,4,0),VLOOKUP(D47&amp;$AC$36,' '!$D$13:$H$32,5,0))</f>
      </c>
      <c r="AD47" s="118"/>
      <c r="AE47" s="119"/>
      <c r="AF47" s="177"/>
      <c r="AG47" s="178"/>
      <c r="AH47" s="179"/>
      <c r="AI47" s="122">
        <f>IF(AND(D47&amp;$AI$36=VLOOKUP(D47&amp;$AI$36,' '!$D$13:$H$32,1,0),VLOOKUP(D47&amp;$AI$36,' '!$D$13:$H$32,4,0)&lt;&gt;""),VLOOKUP(D47&amp;$AI$36,' '!$D$13:$H$32,4,0),VLOOKUP(D47&amp;$AI$36,' '!$D$13:$H$32,5,0))</f>
      </c>
      <c r="AJ47" s="123"/>
      <c r="AK47" s="123"/>
      <c r="AL47" s="161">
        <f>IF(' '!$K$8=0,"",VLOOKUP(' '!A6,' '!$B$3:$N$7,10,0))</f>
      </c>
      <c r="AM47" s="161"/>
      <c r="AN47" s="162"/>
      <c r="AO47" s="130">
        <f>IF(' '!$K$8=0,"",VLOOKUP(' '!A6,' '!$B$3:$N$7,11,0))</f>
      </c>
      <c r="AP47" s="130"/>
      <c r="AQ47" s="130"/>
      <c r="AR47" s="130">
        <f>IF(' '!$K$8=0,"",VLOOKUP(' '!A6,' '!$B$3:$N$7,12,0))</f>
      </c>
      <c r="AS47" s="130"/>
      <c r="AT47" s="130"/>
      <c r="AU47" s="130">
        <f>IF(' '!$K$8=0,"",VLOOKUP(' '!A6,' '!$B$3:$N$7,13,0))</f>
      </c>
      <c r="AV47" s="130"/>
      <c r="AW47" s="130"/>
      <c r="AX47" s="187">
        <f>IF(' '!$K$8=0,"",VLOOKUP(' '!A6,' '!$B$3:$N$7,5,0))</f>
      </c>
      <c r="AY47" s="188"/>
      <c r="AZ47" s="105">
        <f>IF(' '!K8=0,"",":")</f>
      </c>
      <c r="BA47" s="188">
        <f>IF(' '!$K$8=0,"",VLOOKUP(' '!A6,' '!$B$3:$N$7,6,0))</f>
      </c>
      <c r="BB47" s="189"/>
      <c r="BC47" s="181">
        <f>IF(' '!$K$8=0,"",AX47-BA47)</f>
      </c>
      <c r="BD47" s="181"/>
      <c r="BE47" s="181"/>
      <c r="BF47" s="130">
        <f>IF(' '!$K$8=0,"",VLOOKUP(' '!A6,' '!$B$3:$N$7,7,0))</f>
      </c>
      <c r="BG47" s="130"/>
      <c r="BH47" s="180"/>
    </row>
    <row r="48" spans="2:88" s="88" customFormat="1" ht="18" customHeight="1" thickBot="1">
      <c r="B48" s="125">
        <f>IF(' '!$K$8=0,"",IF(VLOOKUP(' '!A7,' '!$B$3:$D$7,3,0)=MAX(B$44:B47),"",' '!A7))</f>
      </c>
      <c r="C48" s="126"/>
      <c r="D48" s="111" t="str">
        <f>VLOOKUP(' '!A7,' '!$B$3:$N$7,4,0)</f>
        <v>1. FC Schwalmstadt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3"/>
      <c r="W48" s="174">
        <f>IF(AND(D48&amp;$W$36=VLOOKUP(D48&amp;$W$36,' '!$D$13:$H$32,1,0),VLOOKUP(D48&amp;$W$36,' '!$D$13:$H$32,4,0)&lt;&gt;""),VLOOKUP(D48&amp;$W$36,' '!$D$13:$H$32,4,0),VLOOKUP(D48&amp;$W$36,' '!$D$13:$H$32,5,0))</f>
      </c>
      <c r="X48" s="174"/>
      <c r="Y48" s="175"/>
      <c r="Z48" s="171">
        <f>IF(AND(D48&amp;$Z$36=VLOOKUP(D48&amp;$Z$36,' '!$D$13:$H$32,1,0),VLOOKUP(D48&amp;$Z$36,' '!$D$13:$H$32,4,0)&lt;&gt;""),VLOOKUP(D48&amp;$Z$36,' '!$D$13:$H$32,4,0),VLOOKUP(D48&amp;$Z$36,' '!$D$13:$H$32,5,0))</f>
      </c>
      <c r="AA48" s="172"/>
      <c r="AB48" s="173"/>
      <c r="AC48" s="171">
        <f>IF(AND(D48&amp;$AC$36=VLOOKUP(D48&amp;$AC$36,' '!$D$13:$H$32,1,0),VLOOKUP(D48&amp;$AC$36,' '!$D$13:$H$32,4,0)&lt;&gt;""),VLOOKUP(D48&amp;$AC$36,' '!$D$13:$H$32,4,0),VLOOKUP(D48&amp;$AC$36,' '!$D$13:$H$32,5,0))</f>
      </c>
      <c r="AD48" s="172"/>
      <c r="AE48" s="173"/>
      <c r="AF48" s="171">
        <f>IF(AND(D48&amp;$AF$36=VLOOKUP(D48&amp;$AF$36,' '!$D$13:$H$32,1,0),VLOOKUP(D48&amp;$AF$36,' '!$D$13:$H$32,4,0)&lt;&gt;""),VLOOKUP(D48&amp;$AF$36,' '!$D$13:$H$32,4,0),VLOOKUP(D48&amp;$AF$36,' '!$D$13:$H$32,5,0))</f>
      </c>
      <c r="AG48" s="172"/>
      <c r="AH48" s="173"/>
      <c r="AI48" s="120"/>
      <c r="AJ48" s="121"/>
      <c r="AK48" s="121"/>
      <c r="AL48" s="182">
        <f>IF(' '!$K$8=0,"",VLOOKUP(' '!A7,' '!$B$3:$N$7,10,0))</f>
      </c>
      <c r="AM48" s="182"/>
      <c r="AN48" s="183"/>
      <c r="AO48" s="184">
        <f>IF(' '!$K$8=0,"",VLOOKUP(' '!A7,' '!$B$3:$N$7,11,0))</f>
      </c>
      <c r="AP48" s="184"/>
      <c r="AQ48" s="184"/>
      <c r="AR48" s="184">
        <f>IF(' '!$K$8=0,"",VLOOKUP(' '!A7,' '!$B$3:$N$7,12,0))</f>
      </c>
      <c r="AS48" s="184"/>
      <c r="AT48" s="184"/>
      <c r="AU48" s="184">
        <f>IF(' '!$K$8=0,"",VLOOKUP(' '!A7,' '!$B$3:$N$7,13,0))</f>
      </c>
      <c r="AV48" s="184"/>
      <c r="AW48" s="184"/>
      <c r="AX48" s="190">
        <f>IF(' '!$K$8=0,"",VLOOKUP(' '!A7,' '!$B$3:$N$7,5,0))</f>
      </c>
      <c r="AY48" s="191"/>
      <c r="AZ48" s="106">
        <f>IF(' '!K8=0,"",":")</f>
      </c>
      <c r="BA48" s="191">
        <f>IF(' '!$K$8=0,"",VLOOKUP(' '!A7,' '!$B$3:$N$7,6,0))</f>
      </c>
      <c r="BB48" s="192"/>
      <c r="BC48" s="186">
        <f>IF(' '!$K$8=0,"",AX48-BA48)</f>
      </c>
      <c r="BD48" s="186"/>
      <c r="BE48" s="186"/>
      <c r="BF48" s="184">
        <f>IF(' '!$K$8=0,"",VLOOKUP(' '!A7,' '!$B$3:$N$7,7,0))</f>
      </c>
      <c r="BG48" s="184"/>
      <c r="BH48" s="185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W10:BA10"/>
    <mergeCell ref="AO10:AV10"/>
    <mergeCell ref="AX31:AY31"/>
    <mergeCell ref="AX32:AY32"/>
    <mergeCell ref="AU29:AW29"/>
    <mergeCell ref="AX25:AY25"/>
    <mergeCell ref="AX26:AY26"/>
    <mergeCell ref="AX30:AY30"/>
    <mergeCell ref="AU25:AW25"/>
    <mergeCell ref="AU26:AW26"/>
    <mergeCell ref="B2:AP2"/>
    <mergeCell ref="B8:AP8"/>
    <mergeCell ref="B6:AP6"/>
    <mergeCell ref="B4:AP4"/>
    <mergeCell ref="B3:AP3"/>
    <mergeCell ref="AS3:AZ3"/>
    <mergeCell ref="D24:G24"/>
    <mergeCell ref="H10:K10"/>
    <mergeCell ref="N17:AF17"/>
    <mergeCell ref="N16:AF16"/>
    <mergeCell ref="N15:AF15"/>
    <mergeCell ref="N19:AF19"/>
    <mergeCell ref="N18:AF18"/>
    <mergeCell ref="N20:AF20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AU27:AW27"/>
    <mergeCell ref="AX27:AY27"/>
    <mergeCell ref="D27:G27"/>
    <mergeCell ref="AB26:AT26"/>
    <mergeCell ref="H26:Z26"/>
    <mergeCell ref="AB25:AT25"/>
    <mergeCell ref="H25:Z25"/>
    <mergeCell ref="H27:Z27"/>
    <mergeCell ref="AB27:AT27"/>
    <mergeCell ref="B27:C27"/>
    <mergeCell ref="B28:C28"/>
    <mergeCell ref="B26:C26"/>
    <mergeCell ref="AX28:AY28"/>
    <mergeCell ref="AU30:AW30"/>
    <mergeCell ref="B25:C25"/>
    <mergeCell ref="B29:C29"/>
    <mergeCell ref="B30:C30"/>
    <mergeCell ref="D30:G30"/>
    <mergeCell ref="D29:G29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AR45:AT45"/>
    <mergeCell ref="AX48:AY48"/>
    <mergeCell ref="BA48:BB48"/>
    <mergeCell ref="BF46:BH46"/>
    <mergeCell ref="AX46:AY46"/>
    <mergeCell ref="BA46:BB46"/>
    <mergeCell ref="BC46:BE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Z46:AB46"/>
    <mergeCell ref="AF47:AH47"/>
    <mergeCell ref="AF46:AH46"/>
    <mergeCell ref="BF47:BH47"/>
    <mergeCell ref="B47:C47"/>
    <mergeCell ref="BC47:BE47"/>
    <mergeCell ref="AO46:AQ46"/>
    <mergeCell ref="AU46:AW46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AF48:AH48"/>
    <mergeCell ref="Z47:AB47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D33:G33"/>
    <mergeCell ref="D32:G32"/>
    <mergeCell ref="AU45:AW45"/>
    <mergeCell ref="AU44:AW44"/>
    <mergeCell ref="AX43:BB43"/>
    <mergeCell ref="AX44:AY44"/>
    <mergeCell ref="BA44:BB44"/>
    <mergeCell ref="AU43:AW43"/>
    <mergeCell ref="H34:Z34"/>
    <mergeCell ref="BC43:BE43"/>
    <mergeCell ref="AU28:AW28"/>
    <mergeCell ref="AU31:AW31"/>
    <mergeCell ref="AF36:AH43"/>
    <mergeCell ref="AC36:AE43"/>
    <mergeCell ref="AX29:AY29"/>
    <mergeCell ref="W36:Y43"/>
    <mergeCell ref="Z36:AB43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H32:Z32"/>
    <mergeCell ref="AR47:AT47"/>
    <mergeCell ref="AR46:AT46"/>
    <mergeCell ref="H29:Z29"/>
    <mergeCell ref="AB29:AT29"/>
    <mergeCell ref="H30:Z30"/>
    <mergeCell ref="AB30:AT30"/>
    <mergeCell ref="AB33:AT33"/>
    <mergeCell ref="B43:V43"/>
    <mergeCell ref="AI44:AK44"/>
    <mergeCell ref="D34:G34"/>
    <mergeCell ref="H28:Z28"/>
    <mergeCell ref="AB28:AT28"/>
    <mergeCell ref="B48:C48"/>
    <mergeCell ref="B46:C46"/>
    <mergeCell ref="H31:Z31"/>
    <mergeCell ref="AB31:AT31"/>
    <mergeCell ref="AB32:AT32"/>
    <mergeCell ref="H33:Z33"/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  <mergeCell ref="AC45:AE45"/>
    <mergeCell ref="Z48:AB48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65536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370" t="str">
        <f>Ergebniseingabe!B2</f>
        <v>D-Jugend Sparkassencup 2022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368" t="str">
        <f>Ergebniseingabe!B3</f>
        <v>Vorrunde Gruppe 3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U3" s="237" t="s">
        <v>0</v>
      </c>
      <c r="AV3" s="237"/>
      <c r="AW3" s="237"/>
      <c r="AX3" s="237"/>
      <c r="AY3" s="237"/>
      <c r="AZ3" s="237"/>
      <c r="BA3" s="237"/>
      <c r="BB3" s="237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367">
        <f>Ergebniseingabe!B4</f>
        <v>0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363" t="str">
        <f>Ergebniseingabe!B6</f>
        <v>Am Sonntag, den 15. Mai 2022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373" t="str">
        <f>Ergebniseingabe!B8</f>
        <v>in Obervorschütz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209" t="s">
        <v>28</v>
      </c>
      <c r="C10" s="209"/>
      <c r="D10" s="209"/>
      <c r="E10" s="209"/>
      <c r="F10" s="209"/>
      <c r="G10" s="209"/>
      <c r="H10" s="369">
        <f>Ergebniseingabe!H10</f>
        <v>0.375</v>
      </c>
      <c r="I10" s="369"/>
      <c r="J10" s="369"/>
      <c r="K10" s="369"/>
      <c r="L10" s="21" t="s">
        <v>1</v>
      </c>
      <c r="T10" s="26" t="s">
        <v>2</v>
      </c>
      <c r="U10" s="355">
        <f>Ergebniseingabe!U10</f>
        <v>1</v>
      </c>
      <c r="V10" s="355" t="s">
        <v>3</v>
      </c>
      <c r="W10" s="27" t="s">
        <v>4</v>
      </c>
      <c r="X10" s="377">
        <f>Ergebniseingabe!X10</f>
        <v>20</v>
      </c>
      <c r="Y10" s="377"/>
      <c r="Z10" s="377"/>
      <c r="AA10" s="377"/>
      <c r="AB10" s="377"/>
      <c r="AC10" s="210">
        <f>Ergebniseingabe!AC10</f>
      </c>
      <c r="AD10" s="210"/>
      <c r="AE10" s="210"/>
      <c r="AF10" s="210"/>
      <c r="AG10" s="210"/>
      <c r="AH10" s="210"/>
      <c r="AI10" s="364">
        <f>Ergebniseingabe!AI10</f>
        <v>0</v>
      </c>
      <c r="AJ10" s="364"/>
      <c r="AK10" s="364"/>
      <c r="AL10" s="364"/>
      <c r="AM10" s="364"/>
      <c r="AO10" s="209" t="s">
        <v>5</v>
      </c>
      <c r="AP10" s="209"/>
      <c r="AQ10" s="209"/>
      <c r="AR10" s="209"/>
      <c r="AS10" s="209"/>
      <c r="AT10" s="209"/>
      <c r="AU10" s="209"/>
      <c r="AV10" s="209"/>
      <c r="AW10" s="275">
        <f>Ergebniseingabe!AW10</f>
        <v>2</v>
      </c>
      <c r="AX10" s="275"/>
      <c r="AY10" s="275"/>
      <c r="AZ10" s="275"/>
      <c r="BA10" s="275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357" t="s">
        <v>7</v>
      </c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9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268" t="str">
        <f>Ergebniseingabe!N16</f>
        <v>FSG Gudensberg II (7er)</v>
      </c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70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265" t="str">
        <f>Ergebniseingabe!N17</f>
        <v>JSG Homberg-Efze</v>
      </c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7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265" t="str">
        <f>Ergebniseingabe!N18</f>
        <v>JSG Geismar/H/K/L/Z II (7er)</v>
      </c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7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265" t="str">
        <f>Ergebniseingabe!N19</f>
        <v>JSG Melsungen-Körle II</v>
      </c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7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360" t="str">
        <f>Ergebniseingabe!N20</f>
        <v>1. FC Schwalmstadt</v>
      </c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2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353" t="s">
        <v>9</v>
      </c>
      <c r="C24" s="354"/>
      <c r="D24" s="282" t="s">
        <v>29</v>
      </c>
      <c r="E24" s="283"/>
      <c r="F24" s="283"/>
      <c r="G24" s="284"/>
      <c r="H24" s="282" t="s">
        <v>10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4"/>
      <c r="AU24" s="282" t="s">
        <v>11</v>
      </c>
      <c r="AV24" s="283"/>
      <c r="AW24" s="283"/>
      <c r="AX24" s="283"/>
      <c r="AY24" s="283"/>
      <c r="AZ24" s="278"/>
      <c r="BA24" s="279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365">
        <v>1</v>
      </c>
      <c r="C25" s="366"/>
      <c r="D25" s="374">
        <f>$H$10</f>
        <v>0.375</v>
      </c>
      <c r="E25" s="375"/>
      <c r="F25" s="375"/>
      <c r="G25" s="376"/>
      <c r="H25" s="249" t="str">
        <f>Ergebniseingabe!H25</f>
        <v>1. FC Schwalmstadt</v>
      </c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58" t="s">
        <v>12</v>
      </c>
      <c r="AB25" s="250" t="str">
        <f>Ergebniseingabe!AB25</f>
        <v>JSG Homberg-Efze</v>
      </c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71"/>
      <c r="AU25" s="371" t="str">
        <f>IF(Ergebniseingabe!AU25="",":",Ergebniseingabe!AU25)</f>
        <v>:</v>
      </c>
      <c r="AV25" s="372"/>
      <c r="AW25" s="372"/>
      <c r="AX25" s="312">
        <f>IF(Ergebniseingabe!AX25="","",Ergebniseingabe!AX25)</f>
      </c>
      <c r="AY25" s="312"/>
      <c r="AZ25" s="276"/>
      <c r="BA25" s="277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85">
        <v>2</v>
      </c>
      <c r="C26" s="286"/>
      <c r="D26" s="272">
        <f>Ergebniseingabe!D26</f>
        <v>0.3902777777777778</v>
      </c>
      <c r="E26" s="273"/>
      <c r="F26" s="273"/>
      <c r="G26" s="274"/>
      <c r="H26" s="246" t="str">
        <f>Ergebniseingabe!H26</f>
        <v>FSG Gudensberg II (7er)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61" t="s">
        <v>12</v>
      </c>
      <c r="AB26" s="247" t="str">
        <f>Ergebniseingabe!AB26</f>
        <v>JSG Geismar/H/K/L/Z II (7er)</v>
      </c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64"/>
      <c r="AU26" s="280" t="str">
        <f>IF(Ergebniseingabe!AU26="",":",Ergebniseingabe!AU26)</f>
        <v>:</v>
      </c>
      <c r="AV26" s="281"/>
      <c r="AW26" s="281"/>
      <c r="AX26" s="304">
        <f>IF(Ergebniseingabe!AX26="","",Ergebniseingabe!AX26)</f>
      </c>
      <c r="AY26" s="304"/>
      <c r="AZ26" s="276"/>
      <c r="BA26" s="277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85">
        <v>3</v>
      </c>
      <c r="C27" s="286"/>
      <c r="D27" s="272">
        <f>Ergebniseingabe!D27</f>
        <v>0.40555555555555556</v>
      </c>
      <c r="E27" s="273"/>
      <c r="F27" s="273"/>
      <c r="G27" s="274"/>
      <c r="H27" s="246" t="str">
        <f>Ergebniseingabe!H27</f>
        <v>JSG Homberg-Efze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61" t="s">
        <v>12</v>
      </c>
      <c r="AB27" s="247" t="str">
        <f>Ergebniseingabe!AB27</f>
        <v>JSG Melsungen-Körle II</v>
      </c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64"/>
      <c r="AU27" s="280" t="str">
        <f>IF(Ergebniseingabe!AU27="",":",Ergebniseingabe!AU27)</f>
        <v>:</v>
      </c>
      <c r="AV27" s="281"/>
      <c r="AW27" s="281"/>
      <c r="AX27" s="304">
        <f>IF(Ergebniseingabe!AX27="","",Ergebniseingabe!AX27)</f>
      </c>
      <c r="AY27" s="304"/>
      <c r="AZ27" s="276"/>
      <c r="BA27" s="277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85">
        <v>4</v>
      </c>
      <c r="C28" s="286"/>
      <c r="D28" s="272">
        <f>Ergebniseingabe!D28</f>
        <v>0.42083333333333334</v>
      </c>
      <c r="E28" s="273"/>
      <c r="F28" s="273"/>
      <c r="G28" s="274"/>
      <c r="H28" s="246" t="str">
        <f>Ergebniseingabe!H28</f>
        <v>JSG Geismar/H/K/L/Z II (7er)</v>
      </c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61" t="s">
        <v>12</v>
      </c>
      <c r="AB28" s="247" t="str">
        <f>Ergebniseingabe!AB28</f>
        <v>1. FC Schwalmstadt</v>
      </c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64"/>
      <c r="AU28" s="280" t="str">
        <f>IF(Ergebniseingabe!AU28="",":",Ergebniseingabe!AU28)</f>
        <v>:</v>
      </c>
      <c r="AV28" s="281"/>
      <c r="AW28" s="281"/>
      <c r="AX28" s="304">
        <f>IF(Ergebniseingabe!AX28="","",Ergebniseingabe!AX28)</f>
      </c>
      <c r="AY28" s="304"/>
      <c r="AZ28" s="276"/>
      <c r="BA28" s="277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85">
        <v>5</v>
      </c>
      <c r="C29" s="286"/>
      <c r="D29" s="272">
        <f>Ergebniseingabe!D29</f>
        <v>0.4361111111111111</v>
      </c>
      <c r="E29" s="273"/>
      <c r="F29" s="273"/>
      <c r="G29" s="274"/>
      <c r="H29" s="246" t="str">
        <f>Ergebniseingabe!H29</f>
        <v>JSG Melsungen-Körle II</v>
      </c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61" t="s">
        <v>12</v>
      </c>
      <c r="AB29" s="247" t="str">
        <f>Ergebniseingabe!AB29</f>
        <v>FSG Gudensberg II (7er)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64"/>
      <c r="AU29" s="280" t="str">
        <f>IF(Ergebniseingabe!AU29="",":",Ergebniseingabe!AU29)</f>
        <v>:</v>
      </c>
      <c r="AV29" s="281"/>
      <c r="AW29" s="281"/>
      <c r="AX29" s="304">
        <f>IF(Ergebniseingabe!AX29="","",Ergebniseingabe!AX29)</f>
      </c>
      <c r="AY29" s="304"/>
      <c r="AZ29" s="276"/>
      <c r="BA29" s="277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85">
        <v>6</v>
      </c>
      <c r="C30" s="286"/>
      <c r="D30" s="272">
        <f>Ergebniseingabe!D30</f>
        <v>0.4513888888888889</v>
      </c>
      <c r="E30" s="273"/>
      <c r="F30" s="273"/>
      <c r="G30" s="274"/>
      <c r="H30" s="246" t="str">
        <f>Ergebniseingabe!H30</f>
        <v>JSG Homberg-Efze</v>
      </c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61" t="s">
        <v>12</v>
      </c>
      <c r="AB30" s="247" t="str">
        <f>Ergebniseingabe!AB30</f>
        <v>JSG Geismar/H/K/L/Z II (7er)</v>
      </c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64"/>
      <c r="AU30" s="280" t="str">
        <f>IF(Ergebniseingabe!AU30="",":",Ergebniseingabe!AU30)</f>
        <v>:</v>
      </c>
      <c r="AV30" s="281"/>
      <c r="AW30" s="281"/>
      <c r="AX30" s="304">
        <f>IF(Ergebniseingabe!AX30="","",Ergebniseingabe!AX30)</f>
      </c>
      <c r="AY30" s="304"/>
      <c r="AZ30" s="276"/>
      <c r="BA30" s="277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85">
        <v>7</v>
      </c>
      <c r="C31" s="286"/>
      <c r="D31" s="272">
        <f>Ergebniseingabe!D31</f>
        <v>0.4666666666666667</v>
      </c>
      <c r="E31" s="273"/>
      <c r="F31" s="273"/>
      <c r="G31" s="274"/>
      <c r="H31" s="246" t="str">
        <f>Ergebniseingabe!H31</f>
        <v>JSG Melsungen-Körle II</v>
      </c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61" t="s">
        <v>12</v>
      </c>
      <c r="AB31" s="247" t="str">
        <f>Ergebniseingabe!AB31</f>
        <v>1. FC Schwalmstadt</v>
      </c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64"/>
      <c r="AU31" s="280" t="str">
        <f>IF(Ergebniseingabe!AU31="",":",Ergebniseingabe!AU31)</f>
        <v>:</v>
      </c>
      <c r="AV31" s="281"/>
      <c r="AW31" s="281"/>
      <c r="AX31" s="304">
        <f>IF(Ergebniseingabe!AX31="","",Ergebniseingabe!AX31)</f>
      </c>
      <c r="AY31" s="304"/>
      <c r="AZ31" s="276"/>
      <c r="BA31" s="277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85">
        <v>8</v>
      </c>
      <c r="C32" s="286"/>
      <c r="D32" s="272">
        <f>Ergebniseingabe!D32</f>
        <v>0.48194444444444445</v>
      </c>
      <c r="E32" s="273"/>
      <c r="F32" s="273"/>
      <c r="G32" s="274"/>
      <c r="H32" s="246" t="str">
        <f>Ergebniseingabe!H32</f>
        <v>FSG Gudensberg II (7er)</v>
      </c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61" t="s">
        <v>12</v>
      </c>
      <c r="AB32" s="247" t="str">
        <f>Ergebniseingabe!AB32</f>
        <v>JSG Homberg-Efze</v>
      </c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64"/>
      <c r="AU32" s="280" t="str">
        <f>IF(Ergebniseingabe!AU32="",":",Ergebniseingabe!AU32)</f>
        <v>:</v>
      </c>
      <c r="AV32" s="281"/>
      <c r="AW32" s="281"/>
      <c r="AX32" s="304">
        <f>IF(Ergebniseingabe!AX32="","",Ergebniseingabe!AX32)</f>
      </c>
      <c r="AY32" s="304"/>
      <c r="AZ32" s="276"/>
      <c r="BA32" s="277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85">
        <v>9</v>
      </c>
      <c r="C33" s="286"/>
      <c r="D33" s="272">
        <f>Ergebniseingabe!D33</f>
        <v>0.49722222222222223</v>
      </c>
      <c r="E33" s="273"/>
      <c r="F33" s="273"/>
      <c r="G33" s="274"/>
      <c r="H33" s="246" t="str">
        <f>Ergebniseingabe!H33</f>
        <v>JSG Geismar/H/K/L/Z II (7er)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61" t="s">
        <v>12</v>
      </c>
      <c r="AB33" s="247" t="str">
        <f>Ergebniseingabe!AB33</f>
        <v>JSG Melsungen-Körle II</v>
      </c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64"/>
      <c r="AU33" s="280" t="str">
        <f>IF(Ergebniseingabe!AU33="",":",Ergebniseingabe!AU33)</f>
        <v>:</v>
      </c>
      <c r="AV33" s="281"/>
      <c r="AW33" s="281"/>
      <c r="AX33" s="304">
        <f>IF(Ergebniseingabe!AX33="","",Ergebniseingabe!AX33)</f>
      </c>
      <c r="AY33" s="304"/>
      <c r="AZ33" s="276"/>
      <c r="BA33" s="277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299">
        <v>10</v>
      </c>
      <c r="C34" s="300"/>
      <c r="D34" s="301">
        <f>Ergebniseingabe!D34</f>
        <v>0.5125</v>
      </c>
      <c r="E34" s="302"/>
      <c r="F34" s="302"/>
      <c r="G34" s="303"/>
      <c r="H34" s="242" t="str">
        <f>Ergebniseingabe!H34</f>
        <v>1. FC Schwalmstadt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63" t="s">
        <v>12</v>
      </c>
      <c r="AB34" s="243" t="str">
        <f>Ergebniseingabe!AB34</f>
        <v>FSG Gudensberg II (7er)</v>
      </c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/>
      <c r="AU34" s="313" t="str">
        <f>IF(Ergebniseingabe!AU34="",":",Ergebniseingabe!AU34)</f>
        <v>:</v>
      </c>
      <c r="AV34" s="314"/>
      <c r="AW34" s="314"/>
      <c r="AX34" s="315">
        <f>IF(Ergebniseingabe!AX34="","",Ergebniseingabe!AX34)</f>
      </c>
      <c r="AY34" s="315"/>
      <c r="AZ34" s="276"/>
      <c r="BA34" s="277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05" t="str">
        <f>Ergebniseingabe!W36</f>
        <v>FSG Gudensberg II (7er)</v>
      </c>
      <c r="X38" s="256"/>
      <c r="Y38" s="306"/>
      <c r="Z38" s="255" t="str">
        <f>Ergebniseingabe!Z36</f>
        <v>JSG Homberg-Efze</v>
      </c>
      <c r="AA38" s="256"/>
      <c r="AB38" s="306"/>
      <c r="AC38" s="255" t="str">
        <f>Ergebniseingabe!AC36</f>
        <v>JSG Geismar/H/K/L/Z II (7er)</v>
      </c>
      <c r="AD38" s="256"/>
      <c r="AE38" s="306"/>
      <c r="AF38" s="255" t="str">
        <f>Ergebniseingabe!AF36</f>
        <v>JSG Melsungen-Körle II</v>
      </c>
      <c r="AG38" s="256"/>
      <c r="AH38" s="306"/>
      <c r="AI38" s="255" t="str">
        <f>Ergebniseingabe!AI36</f>
        <v>1. FC Schwalmstadt</v>
      </c>
      <c r="AJ38" s="256"/>
      <c r="AK38" s="25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252" t="str">
        <f>Ergebniseingabe!B43</f>
        <v>Abschlusstabelle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4"/>
      <c r="W39" s="307"/>
      <c r="X39" s="259"/>
      <c r="Y39" s="308"/>
      <c r="Z39" s="258"/>
      <c r="AA39" s="259"/>
      <c r="AB39" s="308"/>
      <c r="AC39" s="258"/>
      <c r="AD39" s="259"/>
      <c r="AE39" s="308"/>
      <c r="AF39" s="258"/>
      <c r="AG39" s="259"/>
      <c r="AH39" s="308"/>
      <c r="AI39" s="258"/>
      <c r="AJ39" s="259"/>
      <c r="AK39" s="260"/>
      <c r="AL39" s="310" t="s">
        <v>14</v>
      </c>
      <c r="AM39" s="310"/>
      <c r="AN39" s="310"/>
      <c r="AO39" s="309" t="s">
        <v>15</v>
      </c>
      <c r="AP39" s="310"/>
      <c r="AQ39" s="311"/>
      <c r="AR39" s="309" t="s">
        <v>16</v>
      </c>
      <c r="AS39" s="310"/>
      <c r="AT39" s="311"/>
      <c r="AU39" s="309" t="s">
        <v>17</v>
      </c>
      <c r="AV39" s="310"/>
      <c r="AW39" s="311"/>
      <c r="AX39" s="309" t="s">
        <v>18</v>
      </c>
      <c r="AY39" s="310"/>
      <c r="AZ39" s="310"/>
      <c r="BA39" s="310"/>
      <c r="BB39" s="310"/>
      <c r="BC39" s="347" t="s">
        <v>19</v>
      </c>
      <c r="BD39" s="347"/>
      <c r="BE39" s="347"/>
      <c r="BF39" s="347" t="s">
        <v>20</v>
      </c>
      <c r="BG39" s="347"/>
      <c r="BH39" s="348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27">
        <f>Ergebniseingabe!B44</f>
      </c>
      <c r="C40" s="328"/>
      <c r="D40" s="249" t="str">
        <f>Ergebniseingabe!D44</f>
        <v>FSG Gudensberg II (7er)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1"/>
      <c r="W40" s="329"/>
      <c r="X40" s="329"/>
      <c r="Y40" s="330"/>
      <c r="Z40" s="316">
        <f>Ergebniseingabe!Z44</f>
      </c>
      <c r="AA40" s="317"/>
      <c r="AB40" s="318"/>
      <c r="AC40" s="316">
        <f>Ergebniseingabe!AC44</f>
      </c>
      <c r="AD40" s="317"/>
      <c r="AE40" s="318"/>
      <c r="AF40" s="316">
        <f>Ergebniseingabe!AF44</f>
      </c>
      <c r="AG40" s="317"/>
      <c r="AH40" s="318"/>
      <c r="AI40" s="319">
        <f>Ergebniseingabe!AI44</f>
      </c>
      <c r="AJ40" s="320"/>
      <c r="AK40" s="320"/>
      <c r="AL40" s="321">
        <f>Ergebniseingabe!AL44</f>
      </c>
      <c r="AM40" s="321"/>
      <c r="AN40" s="322"/>
      <c r="AO40" s="295">
        <f>Ergebniseingabe!AO44</f>
      </c>
      <c r="AP40" s="295"/>
      <c r="AQ40" s="295"/>
      <c r="AR40" s="295">
        <f>Ergebniseingabe!AR44</f>
      </c>
      <c r="AS40" s="295"/>
      <c r="AT40" s="295"/>
      <c r="AU40" s="295">
        <f>Ergebniseingabe!AU44</f>
      </c>
      <c r="AV40" s="295"/>
      <c r="AW40" s="295"/>
      <c r="AX40" s="296">
        <f>Ergebniseingabe!AX44</f>
      </c>
      <c r="AY40" s="297"/>
      <c r="AZ40" s="67">
        <f>Ergebniseingabe!AZ44</f>
      </c>
      <c r="BA40" s="297">
        <f>Ergebniseingabe!BA44</f>
      </c>
      <c r="BB40" s="298"/>
      <c r="BC40" s="356">
        <f>Ergebniseingabe!BC44</f>
      </c>
      <c r="BD40" s="356"/>
      <c r="BE40" s="356"/>
      <c r="BF40" s="295">
        <f>Ergebniseingabe!BF44</f>
      </c>
      <c r="BG40" s="295"/>
      <c r="BH40" s="346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25">
        <f>Ergebniseingabe!B45</f>
      </c>
      <c r="C41" s="326"/>
      <c r="D41" s="246" t="str">
        <f>Ergebniseingabe!D45</f>
        <v>JSG Homberg-Efze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8"/>
      <c r="W41" s="294">
        <f>Ergebniseingabe!W45</f>
      </c>
      <c r="X41" s="294"/>
      <c r="Y41" s="285"/>
      <c r="Z41" s="261"/>
      <c r="AA41" s="262"/>
      <c r="AB41" s="263"/>
      <c r="AC41" s="290">
        <f>Ergebniseingabe!AC45</f>
      </c>
      <c r="AD41" s="291"/>
      <c r="AE41" s="292"/>
      <c r="AF41" s="290">
        <f>Ergebniseingabe!AF45</f>
      </c>
      <c r="AG41" s="291"/>
      <c r="AH41" s="292"/>
      <c r="AI41" s="293">
        <f>Ergebniseingabe!AI45</f>
      </c>
      <c r="AJ41" s="294"/>
      <c r="AK41" s="294"/>
      <c r="AL41" s="288">
        <f>Ergebniseingabe!AL45</f>
      </c>
      <c r="AM41" s="288"/>
      <c r="AN41" s="289"/>
      <c r="AO41" s="287">
        <f>Ergebniseingabe!AO45</f>
      </c>
      <c r="AP41" s="287"/>
      <c r="AQ41" s="287"/>
      <c r="AR41" s="287">
        <f>Ergebniseingabe!AR45</f>
      </c>
      <c r="AS41" s="287"/>
      <c r="AT41" s="287"/>
      <c r="AU41" s="287">
        <f>Ergebniseingabe!AU45</f>
      </c>
      <c r="AV41" s="287"/>
      <c r="AW41" s="287"/>
      <c r="AX41" s="332">
        <f>Ergebniseingabe!AX45</f>
      </c>
      <c r="AY41" s="323"/>
      <c r="AZ41" s="68">
        <f>Ergebniseingabe!AZ45</f>
      </c>
      <c r="BA41" s="323">
        <f>Ergebniseingabe!BA45</f>
      </c>
      <c r="BB41" s="324"/>
      <c r="BC41" s="333">
        <f>Ergebniseingabe!BC45</f>
      </c>
      <c r="BD41" s="333"/>
      <c r="BE41" s="333"/>
      <c r="BF41" s="287">
        <f>Ergebniseingabe!BF45</f>
      </c>
      <c r="BG41" s="287"/>
      <c r="BH41" s="331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25">
        <f>Ergebniseingabe!B46</f>
      </c>
      <c r="C42" s="326"/>
      <c r="D42" s="246" t="str">
        <f>Ergebniseingabe!D46</f>
        <v>JSG Geismar/H/K/L/Z II (7er)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8"/>
      <c r="W42" s="294">
        <f>Ergebniseingabe!W46</f>
      </c>
      <c r="X42" s="294"/>
      <c r="Y42" s="285"/>
      <c r="Z42" s="290">
        <f>Ergebniseingabe!Z46</f>
      </c>
      <c r="AA42" s="291"/>
      <c r="AB42" s="292"/>
      <c r="AC42" s="261"/>
      <c r="AD42" s="262"/>
      <c r="AE42" s="263"/>
      <c r="AF42" s="290">
        <f>Ergebniseingabe!AF46</f>
      </c>
      <c r="AG42" s="291"/>
      <c r="AH42" s="292"/>
      <c r="AI42" s="293">
        <f>Ergebniseingabe!AI46</f>
      </c>
      <c r="AJ42" s="294"/>
      <c r="AK42" s="294"/>
      <c r="AL42" s="288">
        <f>Ergebniseingabe!AL46</f>
      </c>
      <c r="AM42" s="288"/>
      <c r="AN42" s="289"/>
      <c r="AO42" s="287">
        <f>Ergebniseingabe!AO46</f>
      </c>
      <c r="AP42" s="287"/>
      <c r="AQ42" s="287"/>
      <c r="AR42" s="287">
        <f>Ergebniseingabe!AR46</f>
      </c>
      <c r="AS42" s="287"/>
      <c r="AT42" s="287"/>
      <c r="AU42" s="287">
        <f>Ergebniseingabe!AU46</f>
      </c>
      <c r="AV42" s="287"/>
      <c r="AW42" s="287"/>
      <c r="AX42" s="332">
        <f>Ergebniseingabe!AX46</f>
      </c>
      <c r="AY42" s="323"/>
      <c r="AZ42" s="68">
        <f>Ergebniseingabe!AZ46</f>
      </c>
      <c r="BA42" s="323">
        <f>Ergebniseingabe!BA46</f>
      </c>
      <c r="BB42" s="324"/>
      <c r="BC42" s="333">
        <f>Ergebniseingabe!BC46</f>
      </c>
      <c r="BD42" s="333"/>
      <c r="BE42" s="333"/>
      <c r="BF42" s="287">
        <f>Ergebniseingabe!BF46</f>
      </c>
      <c r="BG42" s="287"/>
      <c r="BH42" s="331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25">
        <f>Ergebniseingabe!B47</f>
      </c>
      <c r="C43" s="326"/>
      <c r="D43" s="246" t="str">
        <f>Ergebniseingabe!D47</f>
        <v>JSG Melsungen-Körle II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8"/>
      <c r="W43" s="294">
        <f>Ergebniseingabe!W47</f>
      </c>
      <c r="X43" s="294"/>
      <c r="Y43" s="285"/>
      <c r="Z43" s="290">
        <f>Ergebniseingabe!Z47</f>
      </c>
      <c r="AA43" s="291"/>
      <c r="AB43" s="292"/>
      <c r="AC43" s="290">
        <f>Ergebniseingabe!AC47</f>
      </c>
      <c r="AD43" s="291"/>
      <c r="AE43" s="292"/>
      <c r="AF43" s="261"/>
      <c r="AG43" s="262"/>
      <c r="AH43" s="263"/>
      <c r="AI43" s="293">
        <f>Ergebniseingabe!AI47</f>
      </c>
      <c r="AJ43" s="294"/>
      <c r="AK43" s="294"/>
      <c r="AL43" s="288">
        <f>Ergebniseingabe!AL47</f>
      </c>
      <c r="AM43" s="288"/>
      <c r="AN43" s="289"/>
      <c r="AO43" s="287">
        <f>Ergebniseingabe!AO47</f>
      </c>
      <c r="AP43" s="287"/>
      <c r="AQ43" s="287"/>
      <c r="AR43" s="287">
        <f>Ergebniseingabe!AR47</f>
      </c>
      <c r="AS43" s="287"/>
      <c r="AT43" s="287"/>
      <c r="AU43" s="287">
        <f>Ergebniseingabe!AU47</f>
      </c>
      <c r="AV43" s="287"/>
      <c r="AW43" s="287"/>
      <c r="AX43" s="332">
        <f>Ergebniseingabe!AX47</f>
      </c>
      <c r="AY43" s="323"/>
      <c r="AZ43" s="68">
        <f>Ergebniseingabe!AZ47</f>
      </c>
      <c r="BA43" s="323">
        <f>Ergebniseingabe!BA47</f>
      </c>
      <c r="BB43" s="324"/>
      <c r="BC43" s="333">
        <f>Ergebniseingabe!BC47</f>
      </c>
      <c r="BD43" s="333"/>
      <c r="BE43" s="333"/>
      <c r="BF43" s="287">
        <f>Ergebniseingabe!BF47</f>
      </c>
      <c r="BG43" s="287"/>
      <c r="BH43" s="331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37">
        <f>Ergebniseingabe!B48</f>
      </c>
      <c r="C44" s="338"/>
      <c r="D44" s="242" t="str">
        <f>Ergebniseingabe!D48</f>
        <v>1. FC Schwalmstadt</v>
      </c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5"/>
      <c r="W44" s="339">
        <f>Ergebniseingabe!W48</f>
      </c>
      <c r="X44" s="339"/>
      <c r="Y44" s="299"/>
      <c r="Z44" s="334">
        <f>Ergebniseingabe!Z48</f>
      </c>
      <c r="AA44" s="335"/>
      <c r="AB44" s="336"/>
      <c r="AC44" s="334">
        <f>Ergebniseingabe!AC48</f>
      </c>
      <c r="AD44" s="335"/>
      <c r="AE44" s="336"/>
      <c r="AF44" s="334">
        <f>Ergebniseingabe!AF48</f>
      </c>
      <c r="AG44" s="335"/>
      <c r="AH44" s="336"/>
      <c r="AI44" s="349"/>
      <c r="AJ44" s="350"/>
      <c r="AK44" s="350"/>
      <c r="AL44" s="351">
        <f>Ergebniseingabe!AL48</f>
      </c>
      <c r="AM44" s="351"/>
      <c r="AN44" s="352"/>
      <c r="AO44" s="340">
        <f>Ergebniseingabe!AO48</f>
      </c>
      <c r="AP44" s="340"/>
      <c r="AQ44" s="340"/>
      <c r="AR44" s="340">
        <f>Ergebniseingabe!AR48</f>
      </c>
      <c r="AS44" s="340"/>
      <c r="AT44" s="340"/>
      <c r="AU44" s="340">
        <f>Ergebniseingabe!AU48</f>
      </c>
      <c r="AV44" s="340"/>
      <c r="AW44" s="340"/>
      <c r="AX44" s="342">
        <f>Ergebniseingabe!AX48</f>
      </c>
      <c r="AY44" s="343"/>
      <c r="AZ44" s="70">
        <f>Ergebniseingabe!AZ48</f>
      </c>
      <c r="BA44" s="343">
        <f>Ergebniseingabe!BA48</f>
      </c>
      <c r="BB44" s="344"/>
      <c r="BC44" s="345">
        <f>Ergebniseingabe!BC48</f>
      </c>
      <c r="BD44" s="345"/>
      <c r="BE44" s="345"/>
      <c r="BF44" s="340">
        <f>Ergebniseingabe!BF48</f>
      </c>
      <c r="BG44" s="340"/>
      <c r="BH44" s="341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B27:C27"/>
    <mergeCell ref="AI10:AM10"/>
    <mergeCell ref="B10:G10"/>
    <mergeCell ref="AC10:AH10"/>
    <mergeCell ref="B26:C26"/>
    <mergeCell ref="B25:C25"/>
    <mergeCell ref="B24:C24"/>
    <mergeCell ref="U10:V10"/>
    <mergeCell ref="AX26:AY26"/>
    <mergeCell ref="AX43:AY43"/>
    <mergeCell ref="BA43:BB43"/>
    <mergeCell ref="BC40:BE40"/>
    <mergeCell ref="AX27:AY27"/>
    <mergeCell ref="AU28:AW28"/>
    <mergeCell ref="AU27:AW27"/>
    <mergeCell ref="AC43:AE43"/>
    <mergeCell ref="BF40:BH40"/>
    <mergeCell ref="BC39:BE39"/>
    <mergeCell ref="BF39:BH39"/>
    <mergeCell ref="AI44:AK44"/>
    <mergeCell ref="AL44:AN44"/>
    <mergeCell ref="AR44:AT44"/>
    <mergeCell ref="BF43:BH43"/>
    <mergeCell ref="BC43:BE43"/>
    <mergeCell ref="BC41:BE41"/>
    <mergeCell ref="BF41:BH41"/>
    <mergeCell ref="AI43:AK43"/>
    <mergeCell ref="BF44:BH44"/>
    <mergeCell ref="AU44:AW44"/>
    <mergeCell ref="AX44:AY44"/>
    <mergeCell ref="BA44:BB44"/>
    <mergeCell ref="BC44:BE44"/>
    <mergeCell ref="AU43:AW43"/>
    <mergeCell ref="AO44:AQ44"/>
    <mergeCell ref="AR43:AT43"/>
    <mergeCell ref="AC44:AE44"/>
    <mergeCell ref="AF44:AH44"/>
    <mergeCell ref="B44:C44"/>
    <mergeCell ref="W44:Y44"/>
    <mergeCell ref="Z44:AB44"/>
    <mergeCell ref="B43:C43"/>
    <mergeCell ref="W43:Y43"/>
    <mergeCell ref="Z43:AB43"/>
    <mergeCell ref="AF43:AH43"/>
    <mergeCell ref="B42:C42"/>
    <mergeCell ref="W42:Y42"/>
    <mergeCell ref="Z42:AB42"/>
    <mergeCell ref="AX42:AY42"/>
    <mergeCell ref="BA42:BB42"/>
    <mergeCell ref="BC42:BE42"/>
    <mergeCell ref="BF42:BH42"/>
    <mergeCell ref="AL41:AN41"/>
    <mergeCell ref="AX41:AY41"/>
    <mergeCell ref="AO41:AQ41"/>
    <mergeCell ref="AR41:AT41"/>
    <mergeCell ref="AU41:AW41"/>
    <mergeCell ref="AL42:AN42"/>
    <mergeCell ref="AO42:AQ42"/>
    <mergeCell ref="AR42:AT42"/>
    <mergeCell ref="AU42:AW42"/>
    <mergeCell ref="B41:C41"/>
    <mergeCell ref="W41:Y41"/>
    <mergeCell ref="Z41:AB41"/>
    <mergeCell ref="AC41:AE41"/>
    <mergeCell ref="B40:C40"/>
    <mergeCell ref="W40:Y40"/>
    <mergeCell ref="Z40:AB40"/>
    <mergeCell ref="AC40:AE40"/>
    <mergeCell ref="AF41:AH41"/>
    <mergeCell ref="AI41:AK41"/>
    <mergeCell ref="AX39:BB39"/>
    <mergeCell ref="AX34:AY34"/>
    <mergeCell ref="AF40:AH40"/>
    <mergeCell ref="AI40:AK40"/>
    <mergeCell ref="AL40:AN40"/>
    <mergeCell ref="AO40:AQ40"/>
    <mergeCell ref="BA41:BB41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O39:AQ39"/>
    <mergeCell ref="AL39:AN39"/>
    <mergeCell ref="AZ28:BA28"/>
    <mergeCell ref="AX28:AY28"/>
    <mergeCell ref="AZ30:BA30"/>
    <mergeCell ref="AZ29:BA29"/>
    <mergeCell ref="AZ32:BA32"/>
    <mergeCell ref="AZ31:BA31"/>
    <mergeCell ref="B31:C31"/>
    <mergeCell ref="B32:C32"/>
    <mergeCell ref="D32:G32"/>
    <mergeCell ref="D31:G31"/>
    <mergeCell ref="B33:C33"/>
    <mergeCell ref="B34:C34"/>
    <mergeCell ref="D34:G34"/>
    <mergeCell ref="D33:G33"/>
    <mergeCell ref="AO43:AQ43"/>
    <mergeCell ref="AL43:AN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28:C28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H28:Z28"/>
    <mergeCell ref="AB28:AT28"/>
    <mergeCell ref="H29:Z29"/>
    <mergeCell ref="AB29:AT29"/>
    <mergeCell ref="H27:Z27"/>
    <mergeCell ref="AB27:AT27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 ht="12.75">
      <c r="A3" s="42">
        <v>1</v>
      </c>
      <c r="B3" s="78">
        <f>RANK(C3,$C$3:$C$7,1)</f>
        <v>1</v>
      </c>
      <c r="C3" s="89">
        <f>D3+ROW()/1000</f>
        <v>1.003</v>
      </c>
      <c r="D3" s="89">
        <f>RANK(J3,$J$3:$J$7)</f>
        <v>1</v>
      </c>
      <c r="E3" s="42" t="str">
        <f>VLOOKUP(A3,Ergebniseingabe!$M$16:$AF$20,2,0)</f>
        <v>FSG Gudensberg II (7er)</v>
      </c>
      <c r="F3" s="90">
        <f>SUMPRODUCT((E3=Ergebniseingabe!$H$25:$Z$34)*(Ergebniseingabe!$AU$25:$AU$34))+SUMPRODUCT((E3=Ergebniseingabe!$AB$25:$AT$34)*(Ergebniseingabe!$AX$25:$AX$34))</f>
        <v>0</v>
      </c>
      <c r="G3" s="90">
        <f>SUMPRODUCT((E3=Ergebniseingabe!$H$25:$Z$34)*(Ergebniseingabe!$AX$25:$AX$34))+SUMPRODUCT((E3=Ergebniseingabe!$AB$25:$AT$34)*(Ergebniseingabe!$AU$25:$AU$34))</f>
        <v>0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0</v>
      </c>
      <c r="I3" s="89">
        <f>F3-G3</f>
        <v>0</v>
      </c>
      <c r="J3" s="90">
        <f>H3*100000+I3*1000+F3</f>
        <v>0</v>
      </c>
      <c r="K3" s="90">
        <f>SUMPRODUCT((Ergebniseingabe!$H$25:$Z$34=E3)*(Ergebniseingabe!$AU$25:$AU$34&lt;&gt;""))+SUMPRODUCT((Ergebniseingabe!$AB$25:$AT$34=E3)*(Ergebniseingabe!$AX$25:$AX$34&lt;&gt;""))</f>
        <v>0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ht="12.75">
      <c r="A4" s="42">
        <v>2</v>
      </c>
      <c r="B4" s="78">
        <f>RANK(C4,$C$3:$C$7,1)</f>
        <v>2</v>
      </c>
      <c r="C4" s="89">
        <f>D4+ROW()/1000</f>
        <v>1.004</v>
      </c>
      <c r="D4" s="89">
        <f>RANK(J4,$J$3:$J$7)</f>
        <v>1</v>
      </c>
      <c r="E4" s="42" t="str">
        <f>VLOOKUP(A4,Ergebniseingabe!$M$16:$AF$20,2,0)</f>
        <v>JSG Homberg-Efze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0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0</v>
      </c>
      <c r="J4" s="90">
        <f>H4*100000+I4*1000+F4</f>
        <v>0</v>
      </c>
      <c r="K4" s="90">
        <f>SUMPRODUCT((Ergebniseingabe!$H$25:$Z$34=E4)*(Ergebniseingabe!$AU$25:$AU$34&lt;&gt;""))+SUMPRODUCT((Ergebniseingabe!$AB$25:$AT$34=E4)*(Ergebniseingabe!$AX$25:$AX$34&lt;&gt;""))</f>
        <v>0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 ht="12.75">
      <c r="A5" s="42">
        <v>3</v>
      </c>
      <c r="B5" s="78">
        <f>RANK(C5,$C$3:$C$7,1)</f>
        <v>3</v>
      </c>
      <c r="C5" s="89">
        <f>D5+ROW()/1000</f>
        <v>1.005</v>
      </c>
      <c r="D5" s="89">
        <f>RANK(J5,$J$3:$J$7)</f>
        <v>1</v>
      </c>
      <c r="E5" s="42" t="str">
        <f>VLOOKUP(A5,Ergebniseingabe!$M$16:$AF$20,2,0)</f>
        <v>JSG Geismar/H/K/L/Z II (7er)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0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0</v>
      </c>
      <c r="J5" s="90">
        <f>H5*100000+I5*1000+F5</f>
        <v>0</v>
      </c>
      <c r="K5" s="90">
        <f>SUMPRODUCT((Ergebniseingabe!$H$25:$Z$34=E5)*(Ergebniseingabe!$AU$25:$AU$34&lt;&gt;""))+SUMPRODUCT((Ergebniseingabe!$AB$25:$AT$34=E5)*(Ergebniseingabe!$AX$25:$AX$34&lt;&gt;""))</f>
        <v>0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ht="12.75">
      <c r="A6" s="42">
        <v>4</v>
      </c>
      <c r="B6" s="78">
        <f>RANK(C6,$C$3:$C$7,1)</f>
        <v>4</v>
      </c>
      <c r="C6" s="89">
        <f>D6+ROW()/1000</f>
        <v>1.006</v>
      </c>
      <c r="D6" s="89">
        <f>RANK(J6,$J$3:$J$7)</f>
        <v>1</v>
      </c>
      <c r="E6" s="42" t="str">
        <f>VLOOKUP(A6,Ergebniseingabe!$M$16:$AF$20,2,0)</f>
        <v>JSG Melsungen-Körle II</v>
      </c>
      <c r="F6" s="90">
        <f>SUMPRODUCT((E6=Ergebniseingabe!$H$25:$Z$34)*(Ergebniseingabe!$AU$25:$AU$34))+SUMPRODUCT((E6=Ergebniseingabe!$AB$25:$AT$34)*(Ergebniseingabe!$AX$25:$AX$34))</f>
        <v>0</v>
      </c>
      <c r="G6" s="90">
        <f>SUMPRODUCT((E6=Ergebniseingabe!$H$25:$Z$34)*(Ergebniseingabe!$AX$25:$AX$34))+SUMPRODUCT((E6=Ergebniseingabe!$AB$25:$AT$34)*(Ergebniseingabe!$AU$25:$AU$34))</f>
        <v>0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89">
        <f>F6-G6</f>
        <v>0</v>
      </c>
      <c r="J6" s="90">
        <f>H6*100000+I6*1000+F6</f>
        <v>0</v>
      </c>
      <c r="K6" s="90">
        <f>SUMPRODUCT((Ergebniseingabe!$H$25:$Z$34=E6)*(Ergebniseingabe!$AU$25:$AU$34&lt;&gt;""))+SUMPRODUCT((Ergebniseingabe!$AB$25:$AT$34=E6)*(Ergebniseingabe!$AX$25:$AX$34&lt;&gt;""))</f>
        <v>0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0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 ht="12.75">
      <c r="A7" s="42">
        <v>5</v>
      </c>
      <c r="B7" s="78">
        <f>RANK(C7,$C$3:$C$7,1)</f>
        <v>5</v>
      </c>
      <c r="C7" s="89">
        <f>D7+ROW()/1000</f>
        <v>1.007</v>
      </c>
      <c r="D7" s="89">
        <f>RANK(J7,$J$3:$J$7)</f>
        <v>1</v>
      </c>
      <c r="E7" s="42" t="str">
        <f>VLOOKUP(A7,Ergebniseingabe!$M$16:$AF$20,2,0)</f>
        <v>1. FC Schwalmstadt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89">
        <f>F7-G7</f>
        <v>0</v>
      </c>
      <c r="J7" s="90">
        <f>H7*100000+I7*1000+F7</f>
        <v>0</v>
      </c>
      <c r="K7" s="90">
        <f>SUMPRODUCT((Ergebniseingabe!$H$25:$Z$34=E7)*(Ergebniseingabe!$AU$25:$AU$34&lt;&gt;""))+SUMPRODUCT((Ergebniseingabe!$AB$25:$AT$34=E7)*(Ergebniseingabe!$AX$25:$AX$34&lt;&gt;""))</f>
        <v>0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.75">
      <c r="A8" s="78">
        <f>COUNT((A3:A7))*(COUNT(A3:A7)-1)</f>
        <v>20</v>
      </c>
      <c r="H8" s="78"/>
      <c r="K8" s="89">
        <f>SUM(K3:K7)</f>
        <v>0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FSG Gudensberg II (7er)JSG Homberg-Efze</v>
      </c>
      <c r="E13" s="42" t="str">
        <f>E3</f>
        <v>FSG Gudensberg II (7er)</v>
      </c>
      <c r="F13" s="42" t="str">
        <f>E4</f>
        <v>JSG Homberg-Efze</v>
      </c>
      <c r="G13" s="90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FSG Gudensberg II (7er)JSG Geismar/H/K/L/Z II (7er)</v>
      </c>
      <c r="E14" s="42" t="str">
        <f>E3</f>
        <v>FSG Gudensberg II (7er)</v>
      </c>
      <c r="F14" s="42" t="str">
        <f>E5</f>
        <v>JSG Geismar/H/K/L/Z II (7er)</v>
      </c>
      <c r="G14" s="90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FSG Gudensberg II (7er)JSG Melsungen-Körle II</v>
      </c>
      <c r="E15" s="42" t="str">
        <f>E3</f>
        <v>FSG Gudensberg II (7er)</v>
      </c>
      <c r="F15" s="42" t="str">
        <f>E6</f>
        <v>JSG Melsungen-Körle II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</c>
    </row>
    <row r="16" spans="3:8" s="42" customFormat="1" ht="12.75">
      <c r="C16" s="42">
        <v>4</v>
      </c>
      <c r="D16" s="42" t="str">
        <f t="shared" si="0"/>
        <v>FSG Gudensberg II (7er)1. FC Schwalmstadt</v>
      </c>
      <c r="E16" s="42" t="str">
        <f>E3</f>
        <v>FSG Gudensberg II (7er)</v>
      </c>
      <c r="F16" s="42" t="str">
        <f>E7</f>
        <v>1. FC Schwalmstadt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</c>
    </row>
    <row r="17" spans="3:8" s="42" customFormat="1" ht="12.75">
      <c r="C17" s="42">
        <v>5</v>
      </c>
      <c r="D17" s="42" t="str">
        <f t="shared" si="0"/>
        <v>JSG Homberg-EfzeJSG Geismar/H/K/L/Z II (7er)</v>
      </c>
      <c r="E17" s="42" t="str">
        <f>E4</f>
        <v>JSG Homberg-Efze</v>
      </c>
      <c r="F17" s="42" t="str">
        <f>E5</f>
        <v>JSG Geismar/H/K/L/Z II (7er)</v>
      </c>
      <c r="G17" s="90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JSG Homberg-EfzeJSG Melsungen-Körle II</v>
      </c>
      <c r="E18" s="42" t="str">
        <f>E4</f>
        <v>JSG Homberg-Efze</v>
      </c>
      <c r="F18" s="42" t="str">
        <f>E6</f>
        <v>JSG Melsungen-Körle II</v>
      </c>
      <c r="G18" s="90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JSG Homberg-Efze1. FC Schwalmstadt</v>
      </c>
      <c r="E19" s="42" t="str">
        <f>E4</f>
        <v>JSG Homberg-Efze</v>
      </c>
      <c r="F19" s="42" t="str">
        <f>E7</f>
        <v>1. FC Schwalmstadt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</c>
    </row>
    <row r="20" spans="3:8" s="42" customFormat="1" ht="12.75">
      <c r="C20" s="42">
        <v>8</v>
      </c>
      <c r="D20" s="42" t="str">
        <f t="shared" si="0"/>
        <v>JSG Geismar/H/K/L/Z II (7er)JSG Melsungen-Körle II</v>
      </c>
      <c r="E20" s="42" t="str">
        <f>E5</f>
        <v>JSG Geismar/H/K/L/Z II (7er)</v>
      </c>
      <c r="F20" s="42" t="str">
        <f>E6</f>
        <v>JSG Melsungen-Körle II</v>
      </c>
      <c r="G20" s="90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JSG Geismar/H/K/L/Z II (7er)1. FC Schwalmstadt</v>
      </c>
      <c r="E21" s="42" t="str">
        <f>E5</f>
        <v>JSG Geismar/H/K/L/Z II (7er)</v>
      </c>
      <c r="F21" s="42" t="str">
        <f>E7</f>
        <v>1. FC Schwalmstadt</v>
      </c>
      <c r="G21" s="90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JSG Melsungen-Körle II1. FC Schwalmstadt</v>
      </c>
      <c r="E22" s="78" t="str">
        <f>E6</f>
        <v>JSG Melsungen-Körle II</v>
      </c>
      <c r="F22" s="78" t="str">
        <f>E7</f>
        <v>1. FC Schwalmstadt</v>
      </c>
      <c r="G22" s="90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JSG Homberg-EfzeFSG Gudensberg II (7er)</v>
      </c>
      <c r="E23" s="78" t="str">
        <f aca="true" t="shared" si="1" ref="E23:E32">F13</f>
        <v>JSG Homberg-Efze</v>
      </c>
      <c r="F23" s="78" t="str">
        <f aca="true" t="shared" si="2" ref="F23:F32">E13</f>
        <v>FSG Gudensberg II (7er)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JSG Geismar/H/K/L/Z II (7er)FSG Gudensberg II (7er)</v>
      </c>
      <c r="E24" s="42" t="str">
        <f t="shared" si="1"/>
        <v>JSG Geismar/H/K/L/Z II (7er)</v>
      </c>
      <c r="F24" s="42" t="str">
        <f t="shared" si="2"/>
        <v>FSG Gudensberg II (7er)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</c>
    </row>
    <row r="25" spans="3:8" s="42" customFormat="1" ht="12.75">
      <c r="C25" s="78">
        <v>3</v>
      </c>
      <c r="D25" s="42" t="str">
        <f t="shared" si="0"/>
        <v>JSG Melsungen-Körle IIFSG Gudensberg II (7er)</v>
      </c>
      <c r="E25" s="42" t="str">
        <f t="shared" si="1"/>
        <v>JSG Melsungen-Körle II</v>
      </c>
      <c r="F25" s="42" t="str">
        <f t="shared" si="2"/>
        <v>FSG Gudensberg II (7er)</v>
      </c>
      <c r="G25" s="90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1. FC SchwalmstadtFSG Gudensberg II (7er)</v>
      </c>
      <c r="E26" s="42" t="str">
        <f t="shared" si="1"/>
        <v>1. FC Schwalmstadt</v>
      </c>
      <c r="F26" s="42" t="str">
        <f t="shared" si="2"/>
        <v>FSG Gudensberg II (7er)</v>
      </c>
      <c r="G26" s="90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JSG Geismar/H/K/L/Z II (7er)JSG Homberg-Efze</v>
      </c>
      <c r="E27" s="42" t="str">
        <f t="shared" si="1"/>
        <v>JSG Geismar/H/K/L/Z II (7er)</v>
      </c>
      <c r="F27" s="42" t="str">
        <f t="shared" si="2"/>
        <v>JSG Homberg-Efze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</c>
    </row>
    <row r="28" spans="3:8" s="42" customFormat="1" ht="12.75">
      <c r="C28" s="42">
        <v>6</v>
      </c>
      <c r="D28" s="42" t="str">
        <f t="shared" si="0"/>
        <v>JSG Melsungen-Körle IIJSG Homberg-Efze</v>
      </c>
      <c r="E28" s="42" t="str">
        <f t="shared" si="1"/>
        <v>JSG Melsungen-Körle II</v>
      </c>
      <c r="F28" s="42" t="str">
        <f t="shared" si="2"/>
        <v>JSG Homberg-Efze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</c>
    </row>
    <row r="29" spans="3:8" s="42" customFormat="1" ht="12.75">
      <c r="C29" s="78">
        <v>7</v>
      </c>
      <c r="D29" s="42" t="str">
        <f t="shared" si="0"/>
        <v>1. FC SchwalmstadtJSG Homberg-Efze</v>
      </c>
      <c r="E29" s="42" t="str">
        <f t="shared" si="1"/>
        <v>1. FC Schwalmstadt</v>
      </c>
      <c r="F29" s="42" t="str">
        <f t="shared" si="2"/>
        <v>JSG Homberg-Efze</v>
      </c>
      <c r="G29" s="90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JSG Melsungen-Körle IIJSG Geismar/H/K/L/Z II (7er)</v>
      </c>
      <c r="E30" s="42" t="str">
        <f t="shared" si="1"/>
        <v>JSG Melsungen-Körle II</v>
      </c>
      <c r="F30" s="42" t="str">
        <f t="shared" si="2"/>
        <v>JSG Geismar/H/K/L/Z II (7er)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</c>
    </row>
    <row r="31" spans="3:8" s="42" customFormat="1" ht="12.75">
      <c r="C31" s="78">
        <v>9</v>
      </c>
      <c r="D31" s="42" t="str">
        <f t="shared" si="0"/>
        <v>1. FC SchwalmstadtJSG Geismar/H/K/L/Z II (7er)</v>
      </c>
      <c r="E31" s="42" t="str">
        <f t="shared" si="1"/>
        <v>1. FC Schwalmstadt</v>
      </c>
      <c r="F31" s="42" t="str">
        <f t="shared" si="2"/>
        <v>JSG Geismar/H/K/L/Z II (7er)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</c>
    </row>
    <row r="32" spans="3:8" s="42" customFormat="1" ht="12.75">
      <c r="C32" s="42">
        <v>10</v>
      </c>
      <c r="D32" s="42" t="str">
        <f t="shared" si="0"/>
        <v>1. FC SchwalmstadtJSG Melsungen-Körle II</v>
      </c>
      <c r="E32" s="42" t="str">
        <f t="shared" si="1"/>
        <v>1. FC Schwalmstadt</v>
      </c>
      <c r="F32" s="42" t="str">
        <f t="shared" si="2"/>
        <v>JSG Melsungen-Körle II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Windows-Benutzer</cp:lastModifiedBy>
  <cp:lastPrinted>2022-04-21T20:02:51Z</cp:lastPrinted>
  <dcterms:created xsi:type="dcterms:W3CDTF">2010-02-21T20:05:57Z</dcterms:created>
  <dcterms:modified xsi:type="dcterms:W3CDTF">2022-04-21T20:03:05Z</dcterms:modified>
  <cp:category/>
  <cp:version/>
  <cp:contentType/>
  <cp:contentStatus/>
</cp:coreProperties>
</file>